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tables/table9.xml" ContentType="application/vnd.openxmlformats-officedocument.spreadsheetml.table+xml"/>
  <Override PartName="/xl/drawings/drawing13.xml" ContentType="application/vnd.openxmlformats-officedocument.drawing+xml"/>
  <Override PartName="/xl/tables/table10.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24226"/>
  <mc:AlternateContent xmlns:mc="http://schemas.openxmlformats.org/markup-compatibility/2006">
    <mc:Choice Requires="x15">
      <x15ac:absPath xmlns:x15ac="http://schemas.microsoft.com/office/spreadsheetml/2010/11/ac" url="C:\Users\AAP\Documents\Desktop\Price List\Price List Current\Aluminum\2023 Price Lists\"/>
    </mc:Choice>
  </mc:AlternateContent>
  <xr:revisionPtr revIDLastSave="0" documentId="13_ncr:1_{A3C953D0-6030-4039-A67A-A375CEA495A9}" xr6:coauthVersionLast="47" xr6:coauthVersionMax="47" xr10:uidLastSave="{00000000-0000-0000-0000-000000000000}"/>
  <workbookProtection workbookAlgorithmName="SHA-512" workbookHashValue="Ou8ZyC/obGgRPsuYptEozEFox2Lzhy3mZcL68nAGzDOrMUojkG2hVhiXuF17VwM/C0xMCcrXlPcE6k9qAjh+GQ==" workbookSaltValue="Uxd6fQKxx4l6m+VKMdo6pA==" workbookSpinCount="100000" lockStructure="1"/>
  <bookViews>
    <workbookView xWindow="-28920" yWindow="1845" windowWidth="29040" windowHeight="16440" tabRatio="809" firstSheet="2" activeTab="2" xr2:uid="{00000000-000D-0000-FFFF-FFFF00000000}"/>
  </bookViews>
  <sheets>
    <sheet name="2023 Pricing Rework" sheetId="33" state="hidden" r:id="rId1"/>
    <sheet name="Parts List" sheetId="27" state="hidden" r:id="rId2"/>
    <sheet name="MENU" sheetId="13" r:id="rId3"/>
    <sheet name="BOM" sheetId="26" r:id="rId4"/>
    <sheet name="PIPE" sheetId="4" r:id="rId5"/>
    <sheet name="Straight Connection" sheetId="5" r:id="rId6"/>
    <sheet name="Reducing Fittings" sheetId="15" r:id="rId7"/>
    <sheet name="QDrops" sheetId="16" r:id="rId8"/>
    <sheet name="VALVES &amp; FLANGES" sheetId="7" r:id="rId9"/>
    <sheet name="NPT Adapters" sheetId="17" r:id="rId10"/>
    <sheet name="HANGING MATERIAL" sheetId="6" r:id="rId11"/>
    <sheet name="TOOLS" sheetId="21" r:id="rId12"/>
    <sheet name="ACCESSORIES, HOSES" sheetId="8" r:id="rId13"/>
    <sheet name="Spare Parts" sheetId="20" r:id="rId14"/>
    <sheet name="Tool Box Contents" sheetId="30" r:id="rId15"/>
    <sheet name="3 Series of Fittings" sheetId="31" r:id="rId16"/>
    <sheet name="QDrop Fitting Info" sheetId="28" r:id="rId17"/>
  </sheets>
  <definedNames>
    <definedName name="_xlnm.Print_Area" localSheetId="3">BOM!$A$1:$J$156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71" i="7" l="1"/>
  <c r="I72" i="7"/>
  <c r="I70" i="7"/>
  <c r="I69" i="7"/>
  <c r="E32" i="33"/>
  <c r="J331" i="33"/>
  <c r="K331" i="33" s="1"/>
  <c r="N331" i="33" s="1"/>
  <c r="M331" i="33" s="1"/>
  <c r="E331" i="33"/>
  <c r="J330" i="33"/>
  <c r="K330" i="33" s="1"/>
  <c r="N330" i="33" s="1"/>
  <c r="M330" i="33" s="1"/>
  <c r="E330" i="33"/>
  <c r="J329" i="33"/>
  <c r="K329" i="33" s="1"/>
  <c r="N329" i="33" s="1"/>
  <c r="M329" i="33" s="1"/>
  <c r="E329" i="33"/>
  <c r="J328" i="33"/>
  <c r="K328" i="33" s="1"/>
  <c r="N328" i="33" s="1"/>
  <c r="M328" i="33" s="1"/>
  <c r="E328" i="33"/>
  <c r="J327" i="33"/>
  <c r="K327" i="33" s="1"/>
  <c r="N327" i="33" s="1"/>
  <c r="M327" i="33" s="1"/>
  <c r="E327" i="33"/>
  <c r="E333" i="33"/>
  <c r="J333" i="33"/>
  <c r="K333" i="33" s="1"/>
  <c r="E334" i="33"/>
  <c r="J334" i="33"/>
  <c r="K334" i="33" s="1"/>
  <c r="E335" i="33"/>
  <c r="J335" i="33"/>
  <c r="K335" i="33" s="1"/>
  <c r="E336" i="33"/>
  <c r="J336" i="33"/>
  <c r="K336" i="33" s="1"/>
  <c r="E337" i="33"/>
  <c r="J337" i="33"/>
  <c r="K337" i="33" s="1"/>
  <c r="E31" i="33"/>
  <c r="J52" i="15"/>
  <c r="J53" i="15"/>
  <c r="J51" i="15"/>
  <c r="Q432" i="26" l="1"/>
  <c r="Q433" i="26"/>
  <c r="Q434" i="26"/>
  <c r="Q435" i="26"/>
  <c r="Q436" i="26"/>
  <c r="Q437" i="26"/>
  <c r="Q438" i="26"/>
  <c r="P365" i="26"/>
  <c r="S365" i="26"/>
  <c r="T365" i="26"/>
  <c r="U365" i="26"/>
  <c r="P369" i="26"/>
  <c r="S369" i="26"/>
  <c r="T369" i="26"/>
  <c r="U369" i="26"/>
  <c r="P370" i="26"/>
  <c r="S370" i="26"/>
  <c r="T370" i="26"/>
  <c r="U370" i="26"/>
  <c r="P371" i="26"/>
  <c r="S371" i="26"/>
  <c r="T371" i="26"/>
  <c r="U371" i="26"/>
  <c r="P372" i="26"/>
  <c r="S372" i="26"/>
  <c r="T372" i="26"/>
  <c r="U372" i="26"/>
  <c r="P375" i="26"/>
  <c r="S375" i="26"/>
  <c r="T375" i="26"/>
  <c r="U375" i="26"/>
  <c r="P376" i="26"/>
  <c r="S376" i="26"/>
  <c r="T376" i="26"/>
  <c r="U376" i="26"/>
  <c r="P381" i="26"/>
  <c r="S381" i="26"/>
  <c r="T381" i="26"/>
  <c r="U381" i="26"/>
  <c r="P382" i="26"/>
  <c r="S382" i="26"/>
  <c r="T382" i="26"/>
  <c r="U382" i="26"/>
  <c r="P383" i="26"/>
  <c r="S383" i="26"/>
  <c r="T383" i="26"/>
  <c r="U383" i="26"/>
  <c r="P384" i="26"/>
  <c r="S384" i="26"/>
  <c r="T384" i="26"/>
  <c r="U384" i="26"/>
  <c r="P385" i="26"/>
  <c r="S385" i="26"/>
  <c r="T385" i="26"/>
  <c r="U385" i="26"/>
  <c r="P386" i="26"/>
  <c r="S386" i="26"/>
  <c r="T386" i="26"/>
  <c r="U386" i="26"/>
  <c r="P387" i="26"/>
  <c r="S387" i="26"/>
  <c r="T387" i="26"/>
  <c r="U387" i="26"/>
  <c r="P388" i="26"/>
  <c r="S388" i="26"/>
  <c r="T388" i="26"/>
  <c r="U388" i="26"/>
  <c r="P389" i="26"/>
  <c r="S389" i="26"/>
  <c r="T389" i="26"/>
  <c r="U389" i="26"/>
  <c r="P392" i="26"/>
  <c r="S392" i="26"/>
  <c r="T392" i="26"/>
  <c r="U392" i="26"/>
  <c r="P395" i="26"/>
  <c r="S395" i="26"/>
  <c r="T395" i="26"/>
  <c r="U395" i="26"/>
  <c r="P396" i="26"/>
  <c r="S396" i="26"/>
  <c r="T396" i="26"/>
  <c r="U396" i="26"/>
  <c r="P399" i="26"/>
  <c r="S399" i="26"/>
  <c r="T399" i="26"/>
  <c r="U399" i="26"/>
  <c r="P400" i="26"/>
  <c r="S400" i="26"/>
  <c r="T400" i="26"/>
  <c r="U400" i="26"/>
  <c r="P362" i="26"/>
  <c r="S362" i="26"/>
  <c r="T362" i="26"/>
  <c r="U362" i="26"/>
  <c r="T354" i="26"/>
  <c r="U354" i="26"/>
  <c r="T355" i="26"/>
  <c r="T357" i="26"/>
  <c r="U357" i="26"/>
  <c r="T358" i="26"/>
  <c r="U358" i="26"/>
  <c r="P354" i="26"/>
  <c r="P355" i="26"/>
  <c r="P357" i="26"/>
  <c r="P358" i="26"/>
  <c r="S354" i="26"/>
  <c r="S355" i="26"/>
  <c r="S357" i="26"/>
  <c r="S358" i="26"/>
  <c r="I61" i="21"/>
  <c r="Q400" i="26" s="1"/>
  <c r="I60" i="21"/>
  <c r="J60" i="21" s="1"/>
  <c r="R399" i="26" s="1"/>
  <c r="I57" i="21"/>
  <c r="J57" i="21" s="1"/>
  <c r="R396" i="26" s="1"/>
  <c r="I56" i="21"/>
  <c r="J56" i="21" s="1"/>
  <c r="R395" i="26" s="1"/>
  <c r="I53" i="21"/>
  <c r="Q392" i="26" s="1"/>
  <c r="I50" i="21"/>
  <c r="J50" i="21" s="1"/>
  <c r="R389" i="26" s="1"/>
  <c r="I49" i="21"/>
  <c r="J49" i="21" s="1"/>
  <c r="R388" i="26" s="1"/>
  <c r="I48" i="21"/>
  <c r="Q387" i="26" s="1"/>
  <c r="I47" i="21"/>
  <c r="Q386" i="26" s="1"/>
  <c r="I46" i="21"/>
  <c r="J46" i="21" s="1"/>
  <c r="R385" i="26" s="1"/>
  <c r="I45" i="21"/>
  <c r="J45" i="21" s="1"/>
  <c r="R384" i="26" s="1"/>
  <c r="I44" i="21"/>
  <c r="Q383" i="26" s="1"/>
  <c r="I43" i="21"/>
  <c r="J43" i="21" s="1"/>
  <c r="R382" i="26" s="1"/>
  <c r="I42" i="21"/>
  <c r="J42" i="21" s="1"/>
  <c r="R381" i="26" s="1"/>
  <c r="I37" i="21"/>
  <c r="Q376" i="26" s="1"/>
  <c r="I36" i="21"/>
  <c r="J36" i="21" s="1"/>
  <c r="R375" i="26" s="1"/>
  <c r="I33" i="21"/>
  <c r="J33" i="21" s="1"/>
  <c r="R372" i="26" s="1"/>
  <c r="I32" i="21"/>
  <c r="Q371" i="26" s="1"/>
  <c r="I31" i="21"/>
  <c r="J31" i="21" s="1"/>
  <c r="R370" i="26" s="1"/>
  <c r="I30" i="21"/>
  <c r="J30" i="21" s="1"/>
  <c r="R369" i="26" s="1"/>
  <c r="I26" i="21"/>
  <c r="J26" i="21" s="1"/>
  <c r="R365" i="26" s="1"/>
  <c r="I23" i="21"/>
  <c r="Q362" i="26" s="1"/>
  <c r="I19" i="21"/>
  <c r="J19" i="21" s="1"/>
  <c r="R358" i="26" s="1"/>
  <c r="I18" i="21"/>
  <c r="Q357" i="26" s="1"/>
  <c r="I14" i="21"/>
  <c r="J14" i="21" s="1"/>
  <c r="R353" i="26" s="1"/>
  <c r="I13" i="21"/>
  <c r="J13" i="21" s="1"/>
  <c r="R352" i="26" s="1"/>
  <c r="I10" i="21"/>
  <c r="J10" i="21" s="1"/>
  <c r="R349" i="26" s="1"/>
  <c r="I9" i="21"/>
  <c r="J9" i="21" s="1"/>
  <c r="R348" i="26" s="1"/>
  <c r="I4" i="21"/>
  <c r="R376" i="26"/>
  <c r="I17" i="21"/>
  <c r="Q396" i="26" l="1"/>
  <c r="Q389" i="26"/>
  <c r="Q384" i="26"/>
  <c r="Q382" i="26"/>
  <c r="Q375" i="26"/>
  <c r="Q369" i="26"/>
  <c r="J23" i="21"/>
  <c r="R362" i="26" s="1"/>
  <c r="J32" i="21"/>
  <c r="R371" i="26" s="1"/>
  <c r="J47" i="21"/>
  <c r="R386" i="26" s="1"/>
  <c r="J53" i="21"/>
  <c r="R392" i="26" s="1"/>
  <c r="J61" i="21"/>
  <c r="R400" i="26" s="1"/>
  <c r="Q358" i="26"/>
  <c r="Q395" i="26"/>
  <c r="Q388" i="26"/>
  <c r="Q372" i="26"/>
  <c r="Q365" i="26"/>
  <c r="J44" i="21"/>
  <c r="R383" i="26" s="1"/>
  <c r="J48" i="21"/>
  <c r="R387" i="26" s="1"/>
  <c r="Q381" i="26"/>
  <c r="J18" i="21"/>
  <c r="R357" i="26" s="1"/>
  <c r="Q399" i="26"/>
  <c r="Q385" i="26"/>
  <c r="Q370" i="26"/>
  <c r="E937" i="33"/>
  <c r="E936" i="33"/>
  <c r="E935" i="33"/>
  <c r="E934" i="33"/>
  <c r="E933" i="33"/>
  <c r="E932" i="33"/>
  <c r="E931" i="33"/>
  <c r="E930" i="33"/>
  <c r="E929" i="33"/>
  <c r="E928" i="33"/>
  <c r="E927" i="33"/>
  <c r="E926" i="33"/>
  <c r="E925" i="33"/>
  <c r="E924" i="33"/>
  <c r="E923" i="33"/>
  <c r="E922" i="33"/>
  <c r="E921" i="33"/>
  <c r="E920" i="33"/>
  <c r="E919" i="33"/>
  <c r="E918" i="33"/>
  <c r="E917" i="33"/>
  <c r="E916" i="33"/>
  <c r="E915" i="33"/>
  <c r="E914" i="33"/>
  <c r="E913" i="33"/>
  <c r="E912" i="33"/>
  <c r="E911" i="33"/>
  <c r="E910" i="33"/>
  <c r="E909" i="33"/>
  <c r="E908" i="33"/>
  <c r="E907" i="33"/>
  <c r="E906" i="33"/>
  <c r="E905" i="33"/>
  <c r="E904" i="33"/>
  <c r="E903" i="33"/>
  <c r="E902" i="33"/>
  <c r="E901" i="33"/>
  <c r="E900" i="33"/>
  <c r="E899" i="33"/>
  <c r="E898" i="33"/>
  <c r="E897" i="33"/>
  <c r="E896" i="33"/>
  <c r="E895" i="33"/>
  <c r="E894" i="33"/>
  <c r="E893" i="33"/>
  <c r="E892" i="33"/>
  <c r="E891" i="33"/>
  <c r="E890" i="33"/>
  <c r="E889" i="33"/>
  <c r="E888" i="33"/>
  <c r="E887" i="33"/>
  <c r="E886" i="33"/>
  <c r="E885" i="33"/>
  <c r="E884" i="33"/>
  <c r="E883" i="33"/>
  <c r="E882" i="33"/>
  <c r="E881" i="33"/>
  <c r="E880" i="33"/>
  <c r="E879" i="33"/>
  <c r="E878" i="33"/>
  <c r="E877" i="33"/>
  <c r="E876" i="33"/>
  <c r="E875" i="33"/>
  <c r="E874" i="33"/>
  <c r="E873" i="33"/>
  <c r="E872" i="33"/>
  <c r="E871" i="33"/>
  <c r="E870" i="33"/>
  <c r="E869" i="33"/>
  <c r="E868" i="33"/>
  <c r="E867" i="33"/>
  <c r="E866" i="33"/>
  <c r="E865" i="33"/>
  <c r="E864" i="33"/>
  <c r="E863" i="33"/>
  <c r="E862" i="33"/>
  <c r="E861" i="33"/>
  <c r="E860" i="33"/>
  <c r="E859" i="33"/>
  <c r="E858" i="33"/>
  <c r="E857" i="33"/>
  <c r="E856" i="33"/>
  <c r="E855" i="33"/>
  <c r="E854" i="33"/>
  <c r="E853" i="33"/>
  <c r="E852" i="33"/>
  <c r="E851" i="33"/>
  <c r="E850" i="33"/>
  <c r="E849" i="33"/>
  <c r="E848" i="33"/>
  <c r="E847" i="33"/>
  <c r="E846" i="33"/>
  <c r="E845" i="33"/>
  <c r="E844" i="33"/>
  <c r="E843" i="33"/>
  <c r="E842" i="33"/>
  <c r="E841" i="33"/>
  <c r="E840" i="33"/>
  <c r="E839" i="33"/>
  <c r="E838" i="33"/>
  <c r="E837" i="33"/>
  <c r="E836" i="33"/>
  <c r="E835" i="33"/>
  <c r="E834" i="33"/>
  <c r="E833" i="33"/>
  <c r="E832" i="33"/>
  <c r="E831" i="33"/>
  <c r="E830" i="33"/>
  <c r="E829" i="33"/>
  <c r="E828" i="33"/>
  <c r="E827" i="33"/>
  <c r="E826" i="33"/>
  <c r="E825" i="33"/>
  <c r="E824" i="33"/>
  <c r="E823" i="33"/>
  <c r="E822" i="33"/>
  <c r="E821" i="33"/>
  <c r="E820" i="33"/>
  <c r="E819" i="33"/>
  <c r="E818" i="33"/>
  <c r="E817" i="33"/>
  <c r="E816" i="33"/>
  <c r="E815" i="33"/>
  <c r="E814" i="33"/>
  <c r="E813" i="33"/>
  <c r="E812" i="33"/>
  <c r="E811" i="33"/>
  <c r="E810" i="33"/>
  <c r="E809" i="33"/>
  <c r="E808" i="33"/>
  <c r="E807" i="33"/>
  <c r="E806" i="33"/>
  <c r="E805" i="33"/>
  <c r="E804" i="33"/>
  <c r="E803" i="33"/>
  <c r="E802" i="33"/>
  <c r="E801" i="33"/>
  <c r="E800" i="33"/>
  <c r="E799" i="33"/>
  <c r="E798" i="33"/>
  <c r="E797" i="33"/>
  <c r="E796" i="33"/>
  <c r="E795" i="33"/>
  <c r="E794" i="33"/>
  <c r="E793" i="33"/>
  <c r="E792" i="33"/>
  <c r="E791" i="33"/>
  <c r="E790" i="33"/>
  <c r="E789" i="33"/>
  <c r="E788" i="33"/>
  <c r="E787" i="33"/>
  <c r="E786" i="33"/>
  <c r="E785" i="33"/>
  <c r="E784" i="33"/>
  <c r="E783" i="33"/>
  <c r="E782" i="33"/>
  <c r="E781" i="33"/>
  <c r="E780" i="33"/>
  <c r="E779" i="33"/>
  <c r="E778" i="33"/>
  <c r="E777" i="33"/>
  <c r="E776" i="33"/>
  <c r="E775" i="33"/>
  <c r="E774" i="33"/>
  <c r="E773" i="33"/>
  <c r="E772" i="33"/>
  <c r="E771" i="33"/>
  <c r="E770" i="33"/>
  <c r="E769" i="33"/>
  <c r="E768" i="33"/>
  <c r="E767" i="33"/>
  <c r="E766" i="33"/>
  <c r="E765" i="33"/>
  <c r="E764" i="33"/>
  <c r="E763" i="33"/>
  <c r="E762" i="33"/>
  <c r="E761" i="33"/>
  <c r="E760" i="33"/>
  <c r="E759" i="33"/>
  <c r="E758" i="33"/>
  <c r="E757" i="33"/>
  <c r="E756" i="33"/>
  <c r="E755" i="33"/>
  <c r="E754" i="33"/>
  <c r="E751" i="33"/>
  <c r="E750" i="33"/>
  <c r="E749" i="33"/>
  <c r="E748" i="33"/>
  <c r="E747" i="33"/>
  <c r="E746" i="33"/>
  <c r="E745" i="33"/>
  <c r="E744" i="33"/>
  <c r="E743" i="33"/>
  <c r="E742" i="33"/>
  <c r="E741" i="33"/>
  <c r="E740" i="33"/>
  <c r="E739" i="33"/>
  <c r="E738" i="33"/>
  <c r="E737" i="33"/>
  <c r="E736" i="33"/>
  <c r="E735" i="33"/>
  <c r="E734" i="33"/>
  <c r="E733" i="33"/>
  <c r="E732" i="33"/>
  <c r="E731" i="33"/>
  <c r="E730" i="33"/>
  <c r="E729" i="33"/>
  <c r="E728" i="33"/>
  <c r="E727" i="33"/>
  <c r="E726" i="33"/>
  <c r="E725" i="33"/>
  <c r="E724" i="33"/>
  <c r="E723" i="33"/>
  <c r="E722" i="33"/>
  <c r="E721" i="33"/>
  <c r="E720" i="33"/>
  <c r="E719" i="33"/>
  <c r="E718" i="33"/>
  <c r="E717" i="33"/>
  <c r="E716" i="33"/>
  <c r="E715" i="33"/>
  <c r="E714" i="33"/>
  <c r="E713" i="33"/>
  <c r="E712" i="33"/>
  <c r="E711" i="33"/>
  <c r="E710" i="33"/>
  <c r="E709" i="33"/>
  <c r="E708" i="33"/>
  <c r="E707" i="33"/>
  <c r="E706" i="33"/>
  <c r="E705" i="33"/>
  <c r="E704" i="33"/>
  <c r="E703" i="33"/>
  <c r="E702" i="33"/>
  <c r="E701" i="33"/>
  <c r="E700" i="33"/>
  <c r="E699" i="33"/>
  <c r="E698" i="33"/>
  <c r="E697" i="33"/>
  <c r="E696" i="33"/>
  <c r="E695" i="33"/>
  <c r="E694" i="33"/>
  <c r="E693" i="33"/>
  <c r="E692" i="33"/>
  <c r="E691" i="33"/>
  <c r="E690" i="33"/>
  <c r="E689" i="33"/>
  <c r="E688" i="33"/>
  <c r="E687" i="33"/>
  <c r="E686" i="33"/>
  <c r="E685" i="33"/>
  <c r="E684" i="33"/>
  <c r="E683" i="33"/>
  <c r="E682" i="33"/>
  <c r="E681" i="33"/>
  <c r="E680" i="33"/>
  <c r="E679" i="33"/>
  <c r="E678" i="33"/>
  <c r="E677" i="33"/>
  <c r="E676" i="33"/>
  <c r="E675" i="33"/>
  <c r="E674" i="33"/>
  <c r="E673" i="33"/>
  <c r="E672" i="33"/>
  <c r="E671" i="33"/>
  <c r="E670" i="33"/>
  <c r="E669" i="33"/>
  <c r="E668" i="33"/>
  <c r="E667" i="33"/>
  <c r="E666" i="33"/>
  <c r="E665" i="33"/>
  <c r="E664" i="33"/>
  <c r="E663" i="33"/>
  <c r="E662" i="33"/>
  <c r="E661" i="33"/>
  <c r="E660" i="33"/>
  <c r="E659" i="33"/>
  <c r="E658" i="33"/>
  <c r="E657" i="33"/>
  <c r="E656" i="33"/>
  <c r="E655" i="33"/>
  <c r="E654" i="33"/>
  <c r="E653" i="33"/>
  <c r="E652" i="33"/>
  <c r="E651" i="33"/>
  <c r="E650" i="33"/>
  <c r="E649" i="33"/>
  <c r="E648" i="33"/>
  <c r="E647" i="33"/>
  <c r="E646" i="33"/>
  <c r="E645" i="33"/>
  <c r="E644" i="33"/>
  <c r="E643" i="33"/>
  <c r="E642" i="33"/>
  <c r="E641" i="33"/>
  <c r="E640" i="33"/>
  <c r="E639" i="33"/>
  <c r="E638" i="33"/>
  <c r="E637" i="33"/>
  <c r="E636" i="33"/>
  <c r="E635" i="33"/>
  <c r="E634" i="33"/>
  <c r="E633" i="33"/>
  <c r="E632" i="33"/>
  <c r="E631" i="33"/>
  <c r="E630" i="33"/>
  <c r="E629" i="33"/>
  <c r="E628" i="33"/>
  <c r="E627" i="33"/>
  <c r="E626" i="33"/>
  <c r="E625" i="33"/>
  <c r="E624" i="33"/>
  <c r="E623" i="33"/>
  <c r="E622" i="33"/>
  <c r="E621" i="33"/>
  <c r="E620" i="33"/>
  <c r="E619" i="33"/>
  <c r="E618" i="33"/>
  <c r="E617" i="33"/>
  <c r="E616" i="33"/>
  <c r="E615" i="33"/>
  <c r="E614" i="33"/>
  <c r="E613" i="33"/>
  <c r="E612" i="33"/>
  <c r="E611" i="33"/>
  <c r="E610" i="33"/>
  <c r="E609" i="33"/>
  <c r="E608" i="33"/>
  <c r="E607" i="33"/>
  <c r="E606" i="33"/>
  <c r="E605" i="33"/>
  <c r="E604" i="33"/>
  <c r="E603" i="33"/>
  <c r="E602" i="33"/>
  <c r="E601" i="33"/>
  <c r="E600" i="33"/>
  <c r="E599" i="33"/>
  <c r="E598" i="33"/>
  <c r="E597" i="33"/>
  <c r="E596" i="33"/>
  <c r="E595" i="33"/>
  <c r="E594" i="33"/>
  <c r="E593" i="33"/>
  <c r="E592" i="33"/>
  <c r="E591" i="33"/>
  <c r="E590" i="33"/>
  <c r="E589" i="33"/>
  <c r="E588" i="33"/>
  <c r="E587" i="33"/>
  <c r="E586" i="33"/>
  <c r="E585" i="33"/>
  <c r="E584" i="33"/>
  <c r="E583" i="33"/>
  <c r="E582" i="33"/>
  <c r="E581" i="33"/>
  <c r="E580" i="33"/>
  <c r="E579" i="33"/>
  <c r="E578" i="33"/>
  <c r="E577" i="33"/>
  <c r="E576" i="33"/>
  <c r="E575" i="33"/>
  <c r="E574" i="33"/>
  <c r="E573" i="33"/>
  <c r="E572" i="33"/>
  <c r="E571" i="33"/>
  <c r="E570" i="33"/>
  <c r="E569" i="33"/>
  <c r="E568" i="33"/>
  <c r="E567" i="33"/>
  <c r="E566" i="33"/>
  <c r="E565" i="33"/>
  <c r="E564" i="33"/>
  <c r="E563" i="33"/>
  <c r="E562" i="33"/>
  <c r="E561" i="33"/>
  <c r="E560" i="33"/>
  <c r="E559" i="33"/>
  <c r="E558" i="33"/>
  <c r="E557" i="33"/>
  <c r="E556" i="33"/>
  <c r="E555" i="33"/>
  <c r="E554" i="33"/>
  <c r="E553" i="33"/>
  <c r="E552" i="33"/>
  <c r="E551" i="33"/>
  <c r="E550" i="33"/>
  <c r="E549" i="33"/>
  <c r="E548" i="33"/>
  <c r="E547" i="33"/>
  <c r="E546" i="33"/>
  <c r="E545" i="33"/>
  <c r="E544" i="33"/>
  <c r="E543" i="33"/>
  <c r="E542" i="33"/>
  <c r="E541" i="33"/>
  <c r="E540" i="33"/>
  <c r="E539" i="33"/>
  <c r="E538" i="33"/>
  <c r="E537" i="33"/>
  <c r="E536" i="33"/>
  <c r="E535" i="33"/>
  <c r="E534" i="33"/>
  <c r="E533" i="33"/>
  <c r="E532" i="33"/>
  <c r="E531" i="33"/>
  <c r="E530" i="33"/>
  <c r="E529" i="33"/>
  <c r="E528" i="33"/>
  <c r="E527" i="33"/>
  <c r="E526" i="33"/>
  <c r="E525" i="33"/>
  <c r="E524" i="33"/>
  <c r="E523" i="33"/>
  <c r="E522" i="33"/>
  <c r="E521" i="33"/>
  <c r="E520" i="33"/>
  <c r="E519" i="33"/>
  <c r="E518" i="33"/>
  <c r="E517" i="33"/>
  <c r="E516" i="33"/>
  <c r="E515" i="33"/>
  <c r="E514" i="33"/>
  <c r="E513" i="33"/>
  <c r="E512" i="33"/>
  <c r="E511" i="33"/>
  <c r="E510" i="33"/>
  <c r="E509" i="33"/>
  <c r="E508" i="33"/>
  <c r="E507" i="33"/>
  <c r="E506" i="33"/>
  <c r="E505" i="33"/>
  <c r="E504" i="33"/>
  <c r="E503" i="33"/>
  <c r="E502" i="33"/>
  <c r="E501" i="33"/>
  <c r="E500" i="33"/>
  <c r="E499" i="33"/>
  <c r="E498" i="33"/>
  <c r="E497" i="33"/>
  <c r="E496" i="33"/>
  <c r="E495" i="33"/>
  <c r="E494" i="33"/>
  <c r="E493" i="33"/>
  <c r="E492" i="33"/>
  <c r="E491" i="33"/>
  <c r="E490" i="33"/>
  <c r="E489" i="33"/>
  <c r="E488" i="33"/>
  <c r="E487" i="33"/>
  <c r="E486" i="33"/>
  <c r="E485" i="33"/>
  <c r="E484" i="33"/>
  <c r="E483" i="33"/>
  <c r="E482" i="33"/>
  <c r="E481" i="33"/>
  <c r="E480" i="33"/>
  <c r="E479" i="33"/>
  <c r="E478" i="33"/>
  <c r="E477" i="33"/>
  <c r="E476" i="33"/>
  <c r="E475" i="33"/>
  <c r="E474" i="33"/>
  <c r="E473" i="33"/>
  <c r="E472" i="33"/>
  <c r="E471" i="33"/>
  <c r="E470" i="33"/>
  <c r="E469" i="33"/>
  <c r="E468" i="33"/>
  <c r="E467" i="33"/>
  <c r="E466" i="33"/>
  <c r="E465" i="33"/>
  <c r="E464" i="33"/>
  <c r="E463" i="33"/>
  <c r="E462" i="33"/>
  <c r="E461" i="33"/>
  <c r="E460" i="33"/>
  <c r="E459" i="33"/>
  <c r="E458" i="33"/>
  <c r="E457" i="33"/>
  <c r="E456" i="33"/>
  <c r="E455" i="33"/>
  <c r="E454" i="33"/>
  <c r="E453" i="33"/>
  <c r="E452" i="33"/>
  <c r="E451" i="33"/>
  <c r="E450" i="33"/>
  <c r="E449" i="33"/>
  <c r="E448" i="33"/>
  <c r="E447" i="33"/>
  <c r="E446" i="33"/>
  <c r="E445" i="33"/>
  <c r="E444" i="33"/>
  <c r="E443" i="33"/>
  <c r="E442" i="33"/>
  <c r="E441" i="33"/>
  <c r="E440" i="33"/>
  <c r="E439" i="33"/>
  <c r="E438" i="33"/>
  <c r="E437" i="33"/>
  <c r="E436" i="33"/>
  <c r="E435" i="33"/>
  <c r="E434" i="33"/>
  <c r="E433" i="33"/>
  <c r="E432" i="33"/>
  <c r="E431" i="33"/>
  <c r="E430" i="33"/>
  <c r="E429" i="33"/>
  <c r="E428" i="33"/>
  <c r="E427" i="33"/>
  <c r="E426" i="33"/>
  <c r="E423" i="33"/>
  <c r="E422" i="33"/>
  <c r="E421" i="33"/>
  <c r="E420" i="33"/>
  <c r="E419" i="33"/>
  <c r="E418" i="33"/>
  <c r="E417" i="33"/>
  <c r="E416" i="33"/>
  <c r="E415" i="33"/>
  <c r="E414" i="33"/>
  <c r="E413" i="33"/>
  <c r="E411" i="33"/>
  <c r="E410" i="33"/>
  <c r="E408" i="33"/>
  <c r="E405" i="33"/>
  <c r="E404" i="33"/>
  <c r="E403" i="33"/>
  <c r="E402" i="33"/>
  <c r="E401" i="33"/>
  <c r="E400" i="33"/>
  <c r="E399" i="33"/>
  <c r="E398" i="33"/>
  <c r="E397" i="33"/>
  <c r="E396" i="33"/>
  <c r="E395" i="33"/>
  <c r="E394" i="33"/>
  <c r="E393" i="33"/>
  <c r="E392" i="33"/>
  <c r="E391" i="33"/>
  <c r="E390" i="33"/>
  <c r="E389" i="33"/>
  <c r="E388" i="33"/>
  <c r="E387" i="33"/>
  <c r="E386" i="33"/>
  <c r="E385" i="33"/>
  <c r="E384" i="33"/>
  <c r="E383" i="33"/>
  <c r="E382" i="33"/>
  <c r="E381" i="33"/>
  <c r="E380" i="33"/>
  <c r="E379" i="33"/>
  <c r="E378" i="33"/>
  <c r="E377" i="33"/>
  <c r="E376" i="33"/>
  <c r="E375" i="33"/>
  <c r="E374" i="33"/>
  <c r="E373" i="33"/>
  <c r="E372" i="33"/>
  <c r="E371" i="33"/>
  <c r="E370" i="33"/>
  <c r="E369" i="33"/>
  <c r="E368" i="33"/>
  <c r="E367" i="33"/>
  <c r="E366" i="33"/>
  <c r="E365" i="33"/>
  <c r="E364" i="33"/>
  <c r="E362" i="33"/>
  <c r="E361" i="33"/>
  <c r="E360" i="33"/>
  <c r="E359" i="33"/>
  <c r="E358" i="33"/>
  <c r="E357" i="33"/>
  <c r="E356" i="33"/>
  <c r="E355" i="33"/>
  <c r="E354" i="33"/>
  <c r="E353" i="33"/>
  <c r="E352" i="33"/>
  <c r="E351" i="33"/>
  <c r="E350" i="33"/>
  <c r="E349" i="33"/>
  <c r="E348" i="33"/>
  <c r="E347" i="33"/>
  <c r="E346" i="33"/>
  <c r="E345" i="33"/>
  <c r="E343" i="33"/>
  <c r="E342" i="33"/>
  <c r="E340" i="33"/>
  <c r="E339" i="33"/>
  <c r="E338" i="33"/>
  <c r="E325" i="33"/>
  <c r="E324" i="33"/>
  <c r="E323" i="33"/>
  <c r="E322" i="33"/>
  <c r="E321" i="33"/>
  <c r="E320" i="33"/>
  <c r="E317" i="33"/>
  <c r="E316" i="33"/>
  <c r="E315" i="33"/>
  <c r="E314" i="33"/>
  <c r="E313" i="33"/>
  <c r="E312" i="33"/>
  <c r="E311" i="33"/>
  <c r="E310" i="33"/>
  <c r="E309" i="33"/>
  <c r="E308" i="33"/>
  <c r="E307" i="33"/>
  <c r="E306" i="33"/>
  <c r="E305" i="33"/>
  <c r="E304" i="33"/>
  <c r="E303" i="33"/>
  <c r="E302" i="33"/>
  <c r="E301" i="33"/>
  <c r="E300" i="33"/>
  <c r="E299" i="33"/>
  <c r="E298" i="33"/>
  <c r="E297" i="33"/>
  <c r="E295" i="33"/>
  <c r="E294" i="33"/>
  <c r="E293" i="33"/>
  <c r="E292" i="33"/>
  <c r="E291" i="33"/>
  <c r="E290" i="33"/>
  <c r="E289" i="33"/>
  <c r="E288" i="33"/>
  <c r="E287" i="33"/>
  <c r="E286" i="33"/>
  <c r="E285" i="33"/>
  <c r="E284" i="33"/>
  <c r="E283" i="33"/>
  <c r="E282" i="33"/>
  <c r="E281" i="33"/>
  <c r="E280" i="33"/>
  <c r="E279" i="33"/>
  <c r="E278" i="33"/>
  <c r="E277" i="33"/>
  <c r="E276" i="33"/>
  <c r="E275" i="33"/>
  <c r="E274" i="33"/>
  <c r="E273" i="33"/>
  <c r="E272" i="33"/>
  <c r="E270" i="33"/>
  <c r="E269" i="33"/>
  <c r="E268" i="33"/>
  <c r="E267" i="33"/>
  <c r="E266" i="33"/>
  <c r="E265" i="33"/>
  <c r="E264" i="33"/>
  <c r="E262" i="33"/>
  <c r="E260" i="33"/>
  <c r="E259" i="33"/>
  <c r="E257" i="33"/>
  <c r="E256" i="33"/>
  <c r="E255" i="33"/>
  <c r="E254" i="33"/>
  <c r="E253" i="33"/>
  <c r="E252" i="33"/>
  <c r="E250" i="33"/>
  <c r="E248" i="33"/>
  <c r="E247" i="33"/>
  <c r="E245" i="33"/>
  <c r="E244" i="33"/>
  <c r="E243" i="33"/>
  <c r="E242" i="33"/>
  <c r="E241" i="33"/>
  <c r="E240" i="33"/>
  <c r="E239" i="33"/>
  <c r="E238" i="33"/>
  <c r="E237" i="33"/>
  <c r="E235" i="33"/>
  <c r="E234" i="33"/>
  <c r="E232" i="33"/>
  <c r="E231" i="33"/>
  <c r="E230" i="33"/>
  <c r="E229" i="33"/>
  <c r="E228" i="33"/>
  <c r="E227" i="33"/>
  <c r="E226" i="33"/>
  <c r="E225" i="33"/>
  <c r="E224" i="33"/>
  <c r="E223" i="33"/>
  <c r="E222" i="33"/>
  <c r="E221" i="33"/>
  <c r="E219" i="33"/>
  <c r="E218" i="33"/>
  <c r="E217" i="33"/>
  <c r="E216" i="33"/>
  <c r="E215" i="33"/>
  <c r="E214" i="33"/>
  <c r="E213" i="33"/>
  <c r="E211" i="33"/>
  <c r="E210" i="33"/>
  <c r="E209" i="33"/>
  <c r="E208" i="33"/>
  <c r="E207" i="33"/>
  <c r="E206" i="33"/>
  <c r="E204" i="33"/>
  <c r="E203" i="33"/>
  <c r="E202" i="33"/>
  <c r="E200" i="33"/>
  <c r="E199" i="33"/>
  <c r="E198" i="33"/>
  <c r="E197" i="33"/>
  <c r="E196" i="33"/>
  <c r="E195" i="33"/>
  <c r="E194" i="33"/>
  <c r="E193" i="33"/>
  <c r="E192" i="33"/>
  <c r="E191" i="33"/>
  <c r="E190" i="33"/>
  <c r="E189" i="33"/>
  <c r="E188" i="33"/>
  <c r="E187" i="33"/>
  <c r="E186" i="33"/>
  <c r="E185" i="33"/>
  <c r="E184" i="33"/>
  <c r="E183" i="33"/>
  <c r="E182" i="33"/>
  <c r="E180" i="33"/>
  <c r="E179" i="33"/>
  <c r="E178" i="33"/>
  <c r="E177" i="33"/>
  <c r="E176" i="33"/>
  <c r="E175" i="33"/>
  <c r="E174" i="33"/>
  <c r="E173" i="33"/>
  <c r="E172" i="33"/>
  <c r="E171" i="33"/>
  <c r="E170" i="33"/>
  <c r="E169" i="33"/>
  <c r="E168" i="33"/>
  <c r="E167" i="33"/>
  <c r="E166" i="33"/>
  <c r="E165" i="33"/>
  <c r="E164" i="33"/>
  <c r="E163" i="33"/>
  <c r="E162" i="33"/>
  <c r="E161" i="33"/>
  <c r="E160" i="33"/>
  <c r="E159" i="33"/>
  <c r="E158" i="33"/>
  <c r="E157" i="33"/>
  <c r="E154" i="33"/>
  <c r="E153" i="33"/>
  <c r="E152" i="33"/>
  <c r="E151" i="33"/>
  <c r="E150" i="33"/>
  <c r="E149" i="33"/>
  <c r="E148" i="33"/>
  <c r="E147" i="33"/>
  <c r="E146" i="33"/>
  <c r="E145" i="33"/>
  <c r="E144" i="33"/>
  <c r="E143" i="33"/>
  <c r="E142" i="33"/>
  <c r="E141" i="33"/>
  <c r="E140" i="33"/>
  <c r="E139" i="33"/>
  <c r="E138" i="33"/>
  <c r="E137" i="33"/>
  <c r="E136" i="33"/>
  <c r="E135" i="33"/>
  <c r="E132" i="33"/>
  <c r="E131" i="33"/>
  <c r="E130" i="33"/>
  <c r="E129" i="33"/>
  <c r="E128" i="33"/>
  <c r="E127" i="33"/>
  <c r="E126" i="33"/>
  <c r="E125" i="33"/>
  <c r="E124" i="33"/>
  <c r="E122" i="33"/>
  <c r="E121" i="33"/>
  <c r="E120" i="33"/>
  <c r="E119" i="33"/>
  <c r="E118" i="33"/>
  <c r="E117" i="33"/>
  <c r="E116" i="33"/>
  <c r="E115" i="33"/>
  <c r="E114" i="33"/>
  <c r="E113" i="33"/>
  <c r="E112" i="33"/>
  <c r="E111" i="33"/>
  <c r="E110" i="33"/>
  <c r="E109" i="33"/>
  <c r="E108" i="33"/>
  <c r="E107" i="33"/>
  <c r="E106" i="33"/>
  <c r="E105" i="33"/>
  <c r="E104" i="33"/>
  <c r="E103" i="33"/>
  <c r="E102" i="33"/>
  <c r="E101" i="33"/>
  <c r="E100" i="33"/>
  <c r="E99" i="33"/>
  <c r="E98" i="33"/>
  <c r="E97" i="33"/>
  <c r="E96" i="33"/>
  <c r="E95" i="33"/>
  <c r="E94" i="33"/>
  <c r="E93" i="33"/>
  <c r="E92" i="33"/>
  <c r="E91" i="33"/>
  <c r="E90" i="33"/>
  <c r="E89" i="33"/>
  <c r="E88" i="33"/>
  <c r="E87" i="33"/>
  <c r="E86" i="33"/>
  <c r="E85" i="33"/>
  <c r="E84" i="33"/>
  <c r="E83" i="33"/>
  <c r="E82" i="33"/>
  <c r="E81" i="33"/>
  <c r="E80" i="33"/>
  <c r="E79" i="33"/>
  <c r="E78" i="33"/>
  <c r="E77" i="33"/>
  <c r="E76" i="33"/>
  <c r="E75" i="33"/>
  <c r="E74" i="33"/>
  <c r="E73" i="33"/>
  <c r="E72" i="33"/>
  <c r="E71" i="33"/>
  <c r="E70" i="33"/>
  <c r="E69" i="33"/>
  <c r="E68" i="33"/>
  <c r="E63" i="33"/>
  <c r="J63" i="33"/>
  <c r="K63" i="33" s="1"/>
  <c r="E65" i="33"/>
  <c r="J65" i="33"/>
  <c r="K65" i="33" s="1"/>
  <c r="E42" i="33"/>
  <c r="E41" i="33"/>
  <c r="E40" i="33"/>
  <c r="E39" i="33"/>
  <c r="E38" i="33"/>
  <c r="E37" i="33"/>
  <c r="E36" i="33"/>
  <c r="E35" i="33"/>
  <c r="E34" i="33"/>
  <c r="E33" i="33"/>
  <c r="I29" i="8" l="1"/>
  <c r="I13" i="6"/>
  <c r="I14" i="6"/>
  <c r="I15" i="6"/>
  <c r="I16" i="6"/>
  <c r="I5" i="6"/>
  <c r="I6" i="6"/>
  <c r="I7" i="6"/>
  <c r="I8" i="6"/>
  <c r="I9" i="6"/>
  <c r="I10" i="6"/>
  <c r="I11" i="6"/>
  <c r="I4" i="6"/>
  <c r="J3" i="20"/>
  <c r="J35" i="8"/>
  <c r="J42" i="8"/>
  <c r="J68" i="8"/>
  <c r="J69" i="8"/>
  <c r="J70" i="8"/>
  <c r="J71" i="8"/>
  <c r="J72" i="8"/>
  <c r="J73" i="8"/>
  <c r="J76" i="8"/>
  <c r="J77" i="8"/>
  <c r="J14" i="6"/>
  <c r="J21" i="6"/>
  <c r="J3" i="17" l="1"/>
  <c r="J4" i="17"/>
  <c r="J5" i="17"/>
  <c r="J6" i="17"/>
  <c r="J7" i="17"/>
  <c r="J8" i="17"/>
  <c r="J59" i="17"/>
  <c r="I16" i="7"/>
  <c r="J3" i="7"/>
  <c r="J4" i="7"/>
  <c r="J5" i="7"/>
  <c r="J6" i="7"/>
  <c r="J7" i="7"/>
  <c r="J8" i="7"/>
  <c r="J9" i="7"/>
  <c r="J10" i="7"/>
  <c r="J11" i="7"/>
  <c r="J12" i="7"/>
  <c r="J13" i="7"/>
  <c r="J14" i="7"/>
  <c r="J80" i="7"/>
  <c r="I4" i="15"/>
  <c r="I5" i="15"/>
  <c r="I6" i="15"/>
  <c r="I6" i="5"/>
  <c r="I7" i="5"/>
  <c r="I4" i="5"/>
  <c r="I5" i="5"/>
  <c r="J4" i="4"/>
  <c r="J5" i="4"/>
  <c r="J6" i="4"/>
  <c r="J7" i="4"/>
  <c r="J8" i="4"/>
  <c r="J9" i="4"/>
  <c r="J10" i="4"/>
  <c r="J11" i="4"/>
  <c r="I53" i="15" l="1"/>
  <c r="I52" i="15"/>
  <c r="I51" i="15"/>
  <c r="I48" i="15"/>
  <c r="I47" i="15"/>
  <c r="I46" i="15"/>
  <c r="I45" i="15"/>
  <c r="I44" i="15"/>
  <c r="I42" i="15"/>
  <c r="I41" i="15"/>
  <c r="I40" i="15"/>
  <c r="I39" i="15"/>
  <c r="I38" i="15"/>
  <c r="I37" i="15"/>
  <c r="I32" i="15"/>
  <c r="I31" i="15"/>
  <c r="I30" i="15"/>
  <c r="I29" i="15"/>
  <c r="I28" i="15"/>
  <c r="I26" i="15"/>
  <c r="I25" i="15"/>
  <c r="I24" i="15"/>
  <c r="I23" i="15"/>
  <c r="I22" i="15"/>
  <c r="J44" i="8"/>
  <c r="J326" i="33"/>
  <c r="N15" i="33" l="1"/>
  <c r="M15" i="33" s="1"/>
  <c r="L15" i="33" s="1"/>
  <c r="N16" i="33"/>
  <c r="M16" i="33" s="1"/>
  <c r="L16" i="33" s="1"/>
  <c r="N17" i="33"/>
  <c r="M17" i="33" s="1"/>
  <c r="L17" i="33" s="1"/>
  <c r="N18" i="33"/>
  <c r="M18" i="33" s="1"/>
  <c r="L18" i="33" s="1"/>
  <c r="N19" i="33"/>
  <c r="M19" i="33" s="1"/>
  <c r="L19" i="33" s="1"/>
  <c r="N20" i="33"/>
  <c r="M20" i="33" s="1"/>
  <c r="L20" i="33" s="1"/>
  <c r="N21" i="33"/>
  <c r="M21" i="33" s="1"/>
  <c r="L21" i="33" s="1"/>
  <c r="N22" i="33"/>
  <c r="M22" i="33" s="1"/>
  <c r="L22" i="33" s="1"/>
  <c r="N23" i="33"/>
  <c r="M23" i="33" s="1"/>
  <c r="L23" i="33" s="1"/>
  <c r="N14" i="33"/>
  <c r="M14" i="33" s="1"/>
  <c r="L14" i="33" s="1"/>
  <c r="I6" i="20"/>
  <c r="I5" i="20"/>
  <c r="I4" i="20"/>
  <c r="I59" i="8"/>
  <c r="I47" i="8"/>
  <c r="I46" i="8"/>
  <c r="I45" i="8"/>
  <c r="I44" i="8"/>
  <c r="I34" i="8"/>
  <c r="I33" i="8"/>
  <c r="I32" i="8"/>
  <c r="I31" i="8"/>
  <c r="I30" i="8"/>
  <c r="I27" i="8"/>
  <c r="I26" i="8"/>
  <c r="I25" i="8"/>
  <c r="I24" i="8"/>
  <c r="I23" i="8"/>
  <c r="I21" i="8"/>
  <c r="I20" i="8"/>
  <c r="I19" i="8"/>
  <c r="I18" i="8"/>
  <c r="I17" i="8"/>
  <c r="I16" i="8"/>
  <c r="I15" i="8"/>
  <c r="I14" i="8"/>
  <c r="I13" i="8"/>
  <c r="I11" i="8"/>
  <c r="I10" i="8"/>
  <c r="I9" i="8"/>
  <c r="I8" i="8"/>
  <c r="I7" i="8"/>
  <c r="I6" i="8"/>
  <c r="I5" i="8"/>
  <c r="I4" i="8"/>
  <c r="I83" i="6"/>
  <c r="I82" i="6"/>
  <c r="I81" i="6"/>
  <c r="I80" i="6"/>
  <c r="I74" i="6"/>
  <c r="I73" i="6"/>
  <c r="I72" i="6"/>
  <c r="I71" i="6"/>
  <c r="I65" i="6"/>
  <c r="I64" i="6"/>
  <c r="I63" i="6"/>
  <c r="I62" i="6"/>
  <c r="I56" i="6"/>
  <c r="I35" i="6"/>
  <c r="I34" i="6"/>
  <c r="I33" i="6"/>
  <c r="I28" i="6"/>
  <c r="I27" i="6"/>
  <c r="I26" i="6"/>
  <c r="I20" i="6"/>
  <c r="I19" i="6"/>
  <c r="I61" i="17"/>
  <c r="I60" i="17"/>
  <c r="I59" i="17"/>
  <c r="I58" i="17"/>
  <c r="I57" i="17"/>
  <c r="I56" i="17"/>
  <c r="I55" i="17"/>
  <c r="I54" i="17"/>
  <c r="I53" i="17"/>
  <c r="I52" i="17"/>
  <c r="I51" i="17"/>
  <c r="I46" i="17"/>
  <c r="I45" i="17"/>
  <c r="I40" i="17"/>
  <c r="I39" i="17"/>
  <c r="I38" i="17"/>
  <c r="I37" i="17"/>
  <c r="I25" i="17"/>
  <c r="I24" i="17"/>
  <c r="I23" i="17"/>
  <c r="I22" i="17"/>
  <c r="I19" i="17"/>
  <c r="I18" i="17"/>
  <c r="I17" i="17"/>
  <c r="I16" i="17"/>
  <c r="I15" i="17"/>
  <c r="I14" i="17"/>
  <c r="I13" i="17"/>
  <c r="I12" i="17"/>
  <c r="I76" i="7"/>
  <c r="I75" i="7"/>
  <c r="I65" i="7"/>
  <c r="I64" i="7"/>
  <c r="I63" i="7"/>
  <c r="I62" i="7"/>
  <c r="I58" i="7"/>
  <c r="I57" i="7"/>
  <c r="I56" i="7"/>
  <c r="I55" i="7"/>
  <c r="I49" i="7"/>
  <c r="I48" i="7"/>
  <c r="I45" i="7"/>
  <c r="I44" i="7"/>
  <c r="I43" i="7"/>
  <c r="I42" i="7"/>
  <c r="I38" i="7"/>
  <c r="I37" i="7"/>
  <c r="I36" i="7"/>
  <c r="I35" i="7"/>
  <c r="I34" i="7"/>
  <c r="I33" i="7"/>
  <c r="I32" i="7"/>
  <c r="I31" i="7"/>
  <c r="I28" i="7"/>
  <c r="I27" i="7"/>
  <c r="I24" i="7"/>
  <c r="I23" i="7"/>
  <c r="I22" i="7"/>
  <c r="I21" i="7"/>
  <c r="I19" i="7"/>
  <c r="I18" i="7"/>
  <c r="I17" i="7"/>
  <c r="I63" i="16"/>
  <c r="I59" i="16"/>
  <c r="I58" i="16"/>
  <c r="I56" i="16"/>
  <c r="I55" i="16"/>
  <c r="I54" i="16"/>
  <c r="I53" i="16"/>
  <c r="I52" i="16"/>
  <c r="I51" i="16"/>
  <c r="I41" i="16"/>
  <c r="I40" i="16"/>
  <c r="I39" i="16"/>
  <c r="I38" i="16"/>
  <c r="I37" i="16"/>
  <c r="I36" i="16"/>
  <c r="I35" i="16"/>
  <c r="I34" i="16"/>
  <c r="I32" i="16"/>
  <c r="I31" i="16"/>
  <c r="I30" i="16"/>
  <c r="I29" i="16"/>
  <c r="I28" i="16"/>
  <c r="I27" i="16"/>
  <c r="I26" i="16"/>
  <c r="I25" i="16"/>
  <c r="I24" i="16"/>
  <c r="I21" i="16"/>
  <c r="I20" i="16"/>
  <c r="I19" i="16"/>
  <c r="I18" i="16"/>
  <c r="I17" i="16"/>
  <c r="I16" i="16"/>
  <c r="I15" i="16"/>
  <c r="I14" i="16"/>
  <c r="I12" i="16"/>
  <c r="I11" i="16"/>
  <c r="I10" i="16"/>
  <c r="I9" i="16"/>
  <c r="I8" i="16"/>
  <c r="I7" i="16"/>
  <c r="I6" i="16"/>
  <c r="I5" i="16"/>
  <c r="I4" i="16"/>
  <c r="I20" i="15"/>
  <c r="I19" i="15"/>
  <c r="I18" i="15"/>
  <c r="I17" i="15"/>
  <c r="I16" i="15"/>
  <c r="I15" i="15"/>
  <c r="I11" i="15"/>
  <c r="I10" i="15"/>
  <c r="I9" i="15"/>
  <c r="I8" i="15"/>
  <c r="I58" i="5"/>
  <c r="I57" i="5"/>
  <c r="I56" i="5"/>
  <c r="I54" i="5"/>
  <c r="I53" i="5"/>
  <c r="I52" i="5"/>
  <c r="I51" i="5"/>
  <c r="I49" i="5"/>
  <c r="I48" i="5"/>
  <c r="I47" i="5"/>
  <c r="I46" i="5"/>
  <c r="I44" i="5"/>
  <c r="I43" i="5"/>
  <c r="I42" i="5"/>
  <c r="I41" i="5"/>
  <c r="I37" i="5"/>
  <c r="I36" i="5"/>
  <c r="I35" i="5"/>
  <c r="I34" i="5"/>
  <c r="I32" i="5"/>
  <c r="I31" i="5"/>
  <c r="I30" i="5"/>
  <c r="I29" i="5"/>
  <c r="I25" i="5"/>
  <c r="I24" i="5"/>
  <c r="I23" i="5"/>
  <c r="I22" i="5"/>
  <c r="I19" i="5"/>
  <c r="I18" i="5"/>
  <c r="I17" i="5"/>
  <c r="I16" i="5"/>
  <c r="I13" i="5"/>
  <c r="I12" i="5"/>
  <c r="I11" i="5"/>
  <c r="I10" i="5"/>
  <c r="N407" i="33"/>
  <c r="M407" i="33" s="1"/>
  <c r="N251" i="33"/>
  <c r="I23" i="4" l="1"/>
  <c r="I22" i="4"/>
  <c r="I15" i="4"/>
  <c r="I14" i="4"/>
  <c r="I11" i="4"/>
  <c r="I10" i="4"/>
  <c r="I9" i="4"/>
  <c r="I8" i="4"/>
  <c r="I7" i="4"/>
  <c r="I6" i="4"/>
  <c r="I5" i="4"/>
  <c r="I4" i="4"/>
  <c r="J937" i="33"/>
  <c r="K937" i="33" s="1"/>
  <c r="N937" i="33" s="1"/>
  <c r="M937" i="33" s="1"/>
  <c r="J936" i="33"/>
  <c r="K936" i="33" s="1"/>
  <c r="N936" i="33" s="1"/>
  <c r="M936" i="33" s="1"/>
  <c r="J935" i="33"/>
  <c r="K935" i="33" s="1"/>
  <c r="N935" i="33" s="1"/>
  <c r="M935" i="33" s="1"/>
  <c r="J934" i="33"/>
  <c r="K934" i="33" s="1"/>
  <c r="N934" i="33" s="1"/>
  <c r="M934" i="33" s="1"/>
  <c r="J933" i="33"/>
  <c r="K933" i="33" s="1"/>
  <c r="N933" i="33" s="1"/>
  <c r="M933" i="33" s="1"/>
  <c r="J932" i="33"/>
  <c r="K932" i="33" s="1"/>
  <c r="N932" i="33" s="1"/>
  <c r="M932" i="33" s="1"/>
  <c r="J931" i="33"/>
  <c r="K931" i="33" s="1"/>
  <c r="N931" i="33" s="1"/>
  <c r="M931" i="33" s="1"/>
  <c r="J930" i="33"/>
  <c r="K930" i="33" s="1"/>
  <c r="N930" i="33" s="1"/>
  <c r="M930" i="33" s="1"/>
  <c r="J929" i="33"/>
  <c r="K929" i="33" s="1"/>
  <c r="N929" i="33" s="1"/>
  <c r="M929" i="33" s="1"/>
  <c r="J928" i="33"/>
  <c r="K928" i="33" s="1"/>
  <c r="N928" i="33" s="1"/>
  <c r="M928" i="33" s="1"/>
  <c r="J927" i="33"/>
  <c r="K927" i="33" s="1"/>
  <c r="N927" i="33" s="1"/>
  <c r="M927" i="33" s="1"/>
  <c r="J926" i="33"/>
  <c r="K926" i="33" s="1"/>
  <c r="N926" i="33" s="1"/>
  <c r="M926" i="33" s="1"/>
  <c r="J925" i="33"/>
  <c r="K925" i="33" s="1"/>
  <c r="N925" i="33" s="1"/>
  <c r="M925" i="33" s="1"/>
  <c r="J924" i="33"/>
  <c r="K924" i="33" s="1"/>
  <c r="N924" i="33" s="1"/>
  <c r="M924" i="33" s="1"/>
  <c r="J923" i="33"/>
  <c r="K923" i="33" s="1"/>
  <c r="N923" i="33" s="1"/>
  <c r="M923" i="33" s="1"/>
  <c r="J922" i="33"/>
  <c r="K922" i="33" s="1"/>
  <c r="N922" i="33" s="1"/>
  <c r="M922" i="33" s="1"/>
  <c r="J921" i="33"/>
  <c r="K921" i="33" s="1"/>
  <c r="N921" i="33" s="1"/>
  <c r="M921" i="33" s="1"/>
  <c r="J920" i="33"/>
  <c r="K920" i="33" s="1"/>
  <c r="N920" i="33" s="1"/>
  <c r="M920" i="33" s="1"/>
  <c r="J919" i="33"/>
  <c r="K919" i="33" s="1"/>
  <c r="N919" i="33" s="1"/>
  <c r="M919" i="33" s="1"/>
  <c r="J918" i="33"/>
  <c r="K918" i="33" s="1"/>
  <c r="N918" i="33" s="1"/>
  <c r="M918" i="33" s="1"/>
  <c r="J917" i="33"/>
  <c r="K917" i="33" s="1"/>
  <c r="N917" i="33" s="1"/>
  <c r="M917" i="33" s="1"/>
  <c r="J916" i="33"/>
  <c r="K916" i="33" s="1"/>
  <c r="N916" i="33" s="1"/>
  <c r="M916" i="33" s="1"/>
  <c r="J915" i="33"/>
  <c r="K915" i="33" s="1"/>
  <c r="N915" i="33" s="1"/>
  <c r="M915" i="33" s="1"/>
  <c r="J914" i="33"/>
  <c r="K914" i="33" s="1"/>
  <c r="N914" i="33" s="1"/>
  <c r="M914" i="33" s="1"/>
  <c r="J913" i="33"/>
  <c r="K913" i="33" s="1"/>
  <c r="N913" i="33" s="1"/>
  <c r="M913" i="33" s="1"/>
  <c r="J912" i="33"/>
  <c r="K912" i="33" s="1"/>
  <c r="N912" i="33" s="1"/>
  <c r="M912" i="33" s="1"/>
  <c r="J911" i="33"/>
  <c r="K911" i="33" s="1"/>
  <c r="N911" i="33" s="1"/>
  <c r="M911" i="33" s="1"/>
  <c r="J910" i="33"/>
  <c r="K910" i="33" s="1"/>
  <c r="N910" i="33" s="1"/>
  <c r="M910" i="33" s="1"/>
  <c r="J909" i="33"/>
  <c r="K909" i="33" s="1"/>
  <c r="N909" i="33" s="1"/>
  <c r="M909" i="33" s="1"/>
  <c r="J908" i="33"/>
  <c r="K908" i="33" s="1"/>
  <c r="N908" i="33" s="1"/>
  <c r="M908" i="33" s="1"/>
  <c r="J907" i="33"/>
  <c r="K907" i="33" s="1"/>
  <c r="N907" i="33" s="1"/>
  <c r="M907" i="33" s="1"/>
  <c r="J906" i="33"/>
  <c r="K906" i="33" s="1"/>
  <c r="N906" i="33" s="1"/>
  <c r="M906" i="33" s="1"/>
  <c r="J905" i="33"/>
  <c r="K905" i="33" s="1"/>
  <c r="N905" i="33" s="1"/>
  <c r="M905" i="33" s="1"/>
  <c r="J904" i="33"/>
  <c r="K904" i="33" s="1"/>
  <c r="N904" i="33" s="1"/>
  <c r="M904" i="33" s="1"/>
  <c r="J903" i="33"/>
  <c r="K903" i="33" s="1"/>
  <c r="N903" i="33" s="1"/>
  <c r="M903" i="33" s="1"/>
  <c r="J902" i="33"/>
  <c r="K902" i="33" s="1"/>
  <c r="N902" i="33" s="1"/>
  <c r="M902" i="33" s="1"/>
  <c r="J901" i="33"/>
  <c r="K901" i="33" s="1"/>
  <c r="N901" i="33" s="1"/>
  <c r="M901" i="33" s="1"/>
  <c r="J900" i="33"/>
  <c r="K900" i="33" s="1"/>
  <c r="N900" i="33" s="1"/>
  <c r="M900" i="33" s="1"/>
  <c r="J899" i="33"/>
  <c r="K899" i="33" s="1"/>
  <c r="N899" i="33" s="1"/>
  <c r="M899" i="33" s="1"/>
  <c r="J898" i="33"/>
  <c r="K898" i="33" s="1"/>
  <c r="N898" i="33" s="1"/>
  <c r="M898" i="33" s="1"/>
  <c r="J897" i="33"/>
  <c r="K897" i="33" s="1"/>
  <c r="N897" i="33" s="1"/>
  <c r="M897" i="33" s="1"/>
  <c r="J896" i="33"/>
  <c r="K896" i="33" s="1"/>
  <c r="N896" i="33" s="1"/>
  <c r="M896" i="33" s="1"/>
  <c r="J895" i="33"/>
  <c r="K895" i="33" s="1"/>
  <c r="N895" i="33" s="1"/>
  <c r="M895" i="33" s="1"/>
  <c r="J894" i="33"/>
  <c r="K894" i="33" s="1"/>
  <c r="N894" i="33" s="1"/>
  <c r="M894" i="33" s="1"/>
  <c r="J893" i="33"/>
  <c r="K893" i="33" s="1"/>
  <c r="N893" i="33" s="1"/>
  <c r="M893" i="33" s="1"/>
  <c r="J892" i="33"/>
  <c r="K892" i="33" s="1"/>
  <c r="N892" i="33" s="1"/>
  <c r="M892" i="33" s="1"/>
  <c r="J891" i="33"/>
  <c r="K891" i="33" s="1"/>
  <c r="N891" i="33" s="1"/>
  <c r="M891" i="33" s="1"/>
  <c r="J890" i="33"/>
  <c r="K890" i="33" s="1"/>
  <c r="N890" i="33" s="1"/>
  <c r="M890" i="33" s="1"/>
  <c r="J889" i="33"/>
  <c r="K889" i="33" s="1"/>
  <c r="N889" i="33" s="1"/>
  <c r="M889" i="33" s="1"/>
  <c r="J888" i="33"/>
  <c r="K888" i="33" s="1"/>
  <c r="N888" i="33" s="1"/>
  <c r="M888" i="33" s="1"/>
  <c r="J887" i="33"/>
  <c r="K887" i="33" s="1"/>
  <c r="N887" i="33" s="1"/>
  <c r="M887" i="33" s="1"/>
  <c r="J886" i="33"/>
  <c r="K886" i="33" s="1"/>
  <c r="N886" i="33" s="1"/>
  <c r="M886" i="33" s="1"/>
  <c r="J885" i="33"/>
  <c r="K885" i="33" s="1"/>
  <c r="N885" i="33" s="1"/>
  <c r="M885" i="33" s="1"/>
  <c r="J884" i="33"/>
  <c r="K884" i="33" s="1"/>
  <c r="N884" i="33" s="1"/>
  <c r="M884" i="33" s="1"/>
  <c r="J883" i="33"/>
  <c r="K883" i="33" s="1"/>
  <c r="N883" i="33" s="1"/>
  <c r="M883" i="33" s="1"/>
  <c r="J882" i="33"/>
  <c r="K882" i="33" s="1"/>
  <c r="N882" i="33" s="1"/>
  <c r="M882" i="33" s="1"/>
  <c r="J881" i="33"/>
  <c r="K881" i="33" s="1"/>
  <c r="N881" i="33" s="1"/>
  <c r="M881" i="33" s="1"/>
  <c r="J880" i="33"/>
  <c r="K880" i="33" s="1"/>
  <c r="N880" i="33" s="1"/>
  <c r="M880" i="33" s="1"/>
  <c r="J879" i="33"/>
  <c r="K879" i="33" s="1"/>
  <c r="N879" i="33" s="1"/>
  <c r="M879" i="33" s="1"/>
  <c r="J878" i="33"/>
  <c r="K878" i="33" s="1"/>
  <c r="N878" i="33" s="1"/>
  <c r="M878" i="33" s="1"/>
  <c r="J877" i="33"/>
  <c r="K877" i="33" s="1"/>
  <c r="N877" i="33" s="1"/>
  <c r="M877" i="33" s="1"/>
  <c r="J876" i="33"/>
  <c r="K876" i="33" s="1"/>
  <c r="N876" i="33" s="1"/>
  <c r="M876" i="33" s="1"/>
  <c r="J875" i="33"/>
  <c r="K875" i="33" s="1"/>
  <c r="N875" i="33" s="1"/>
  <c r="M875" i="33" s="1"/>
  <c r="J874" i="33"/>
  <c r="K874" i="33" s="1"/>
  <c r="N874" i="33" s="1"/>
  <c r="M874" i="33" s="1"/>
  <c r="J873" i="33"/>
  <c r="K873" i="33" s="1"/>
  <c r="N873" i="33" s="1"/>
  <c r="M873" i="33" s="1"/>
  <c r="J872" i="33"/>
  <c r="K872" i="33" s="1"/>
  <c r="N872" i="33" s="1"/>
  <c r="M872" i="33" s="1"/>
  <c r="J871" i="33"/>
  <c r="K871" i="33" s="1"/>
  <c r="N871" i="33" s="1"/>
  <c r="M871" i="33" s="1"/>
  <c r="J870" i="33"/>
  <c r="K870" i="33" s="1"/>
  <c r="N870" i="33" s="1"/>
  <c r="M870" i="33" s="1"/>
  <c r="J869" i="33"/>
  <c r="K869" i="33" s="1"/>
  <c r="N869" i="33" s="1"/>
  <c r="M869" i="33" s="1"/>
  <c r="J868" i="33"/>
  <c r="K868" i="33" s="1"/>
  <c r="N868" i="33" s="1"/>
  <c r="M868" i="33" s="1"/>
  <c r="J867" i="33"/>
  <c r="K867" i="33" s="1"/>
  <c r="N867" i="33" s="1"/>
  <c r="M867" i="33" s="1"/>
  <c r="J866" i="33"/>
  <c r="K866" i="33" s="1"/>
  <c r="N866" i="33" s="1"/>
  <c r="M866" i="33" s="1"/>
  <c r="J865" i="33"/>
  <c r="K865" i="33" s="1"/>
  <c r="N865" i="33" s="1"/>
  <c r="M865" i="33" s="1"/>
  <c r="J864" i="33"/>
  <c r="K864" i="33" s="1"/>
  <c r="N864" i="33" s="1"/>
  <c r="M864" i="33" s="1"/>
  <c r="J863" i="33"/>
  <c r="K863" i="33" s="1"/>
  <c r="N863" i="33" s="1"/>
  <c r="M863" i="33" s="1"/>
  <c r="J862" i="33"/>
  <c r="K862" i="33" s="1"/>
  <c r="N862" i="33" s="1"/>
  <c r="M862" i="33" s="1"/>
  <c r="J861" i="33"/>
  <c r="K861" i="33" s="1"/>
  <c r="N861" i="33" s="1"/>
  <c r="M861" i="33" s="1"/>
  <c r="J860" i="33"/>
  <c r="K860" i="33" s="1"/>
  <c r="N860" i="33" s="1"/>
  <c r="M860" i="33" s="1"/>
  <c r="J859" i="33"/>
  <c r="K859" i="33" s="1"/>
  <c r="N859" i="33" s="1"/>
  <c r="M859" i="33" s="1"/>
  <c r="J858" i="33"/>
  <c r="K858" i="33" s="1"/>
  <c r="N858" i="33" s="1"/>
  <c r="M858" i="33" s="1"/>
  <c r="J857" i="33"/>
  <c r="K857" i="33" s="1"/>
  <c r="N857" i="33" s="1"/>
  <c r="M857" i="33" s="1"/>
  <c r="J856" i="33"/>
  <c r="K856" i="33" s="1"/>
  <c r="N856" i="33" s="1"/>
  <c r="M856" i="33" s="1"/>
  <c r="J855" i="33"/>
  <c r="K855" i="33" s="1"/>
  <c r="N855" i="33" s="1"/>
  <c r="M855" i="33" s="1"/>
  <c r="J854" i="33"/>
  <c r="K854" i="33" s="1"/>
  <c r="N854" i="33" s="1"/>
  <c r="M854" i="33" s="1"/>
  <c r="J853" i="33"/>
  <c r="K853" i="33" s="1"/>
  <c r="N853" i="33" s="1"/>
  <c r="M853" i="33" s="1"/>
  <c r="J852" i="33"/>
  <c r="K852" i="33" s="1"/>
  <c r="N852" i="33" s="1"/>
  <c r="M852" i="33" s="1"/>
  <c r="J851" i="33"/>
  <c r="K851" i="33" s="1"/>
  <c r="N851" i="33" s="1"/>
  <c r="M851" i="33" s="1"/>
  <c r="J850" i="33"/>
  <c r="K850" i="33" s="1"/>
  <c r="N850" i="33" s="1"/>
  <c r="M850" i="33" s="1"/>
  <c r="J849" i="33"/>
  <c r="K849" i="33" s="1"/>
  <c r="N849" i="33" s="1"/>
  <c r="M849" i="33" s="1"/>
  <c r="J848" i="33"/>
  <c r="K848" i="33" s="1"/>
  <c r="N848" i="33" s="1"/>
  <c r="M848" i="33" s="1"/>
  <c r="J847" i="33"/>
  <c r="K847" i="33" s="1"/>
  <c r="N847" i="33" s="1"/>
  <c r="M847" i="33" s="1"/>
  <c r="J846" i="33"/>
  <c r="K846" i="33" s="1"/>
  <c r="N846" i="33" s="1"/>
  <c r="M846" i="33" s="1"/>
  <c r="J845" i="33"/>
  <c r="K845" i="33" s="1"/>
  <c r="N845" i="33" s="1"/>
  <c r="M845" i="33" s="1"/>
  <c r="J844" i="33"/>
  <c r="K844" i="33" s="1"/>
  <c r="N844" i="33" s="1"/>
  <c r="M844" i="33" s="1"/>
  <c r="J843" i="33"/>
  <c r="K843" i="33" s="1"/>
  <c r="N843" i="33" s="1"/>
  <c r="M843" i="33" s="1"/>
  <c r="J842" i="33"/>
  <c r="K842" i="33" s="1"/>
  <c r="N842" i="33" s="1"/>
  <c r="M842" i="33" s="1"/>
  <c r="J841" i="33"/>
  <c r="K841" i="33" s="1"/>
  <c r="N841" i="33" s="1"/>
  <c r="M841" i="33" s="1"/>
  <c r="J840" i="33"/>
  <c r="K840" i="33" s="1"/>
  <c r="N840" i="33" s="1"/>
  <c r="M840" i="33" s="1"/>
  <c r="J839" i="33"/>
  <c r="K839" i="33" s="1"/>
  <c r="N839" i="33" s="1"/>
  <c r="M839" i="33" s="1"/>
  <c r="J838" i="33"/>
  <c r="K838" i="33" s="1"/>
  <c r="N838" i="33" s="1"/>
  <c r="M838" i="33" s="1"/>
  <c r="J837" i="33"/>
  <c r="K837" i="33" s="1"/>
  <c r="N837" i="33" s="1"/>
  <c r="M837" i="33" s="1"/>
  <c r="J836" i="33"/>
  <c r="K836" i="33" s="1"/>
  <c r="N836" i="33" s="1"/>
  <c r="M836" i="33" s="1"/>
  <c r="J835" i="33"/>
  <c r="K835" i="33" s="1"/>
  <c r="N835" i="33" s="1"/>
  <c r="M835" i="33" s="1"/>
  <c r="J834" i="33"/>
  <c r="K834" i="33" s="1"/>
  <c r="N834" i="33" s="1"/>
  <c r="M834" i="33" s="1"/>
  <c r="J833" i="33"/>
  <c r="K833" i="33" s="1"/>
  <c r="N833" i="33" s="1"/>
  <c r="M833" i="33" s="1"/>
  <c r="J832" i="33"/>
  <c r="K832" i="33" s="1"/>
  <c r="N832" i="33" s="1"/>
  <c r="M832" i="33" s="1"/>
  <c r="J831" i="33"/>
  <c r="K831" i="33" s="1"/>
  <c r="N831" i="33" s="1"/>
  <c r="M831" i="33" s="1"/>
  <c r="J830" i="33"/>
  <c r="K830" i="33" s="1"/>
  <c r="N830" i="33" s="1"/>
  <c r="M830" i="33" s="1"/>
  <c r="J829" i="33"/>
  <c r="K829" i="33" s="1"/>
  <c r="N829" i="33" s="1"/>
  <c r="M829" i="33" s="1"/>
  <c r="J828" i="33"/>
  <c r="K828" i="33" s="1"/>
  <c r="N828" i="33" s="1"/>
  <c r="M828" i="33" s="1"/>
  <c r="J827" i="33"/>
  <c r="K827" i="33" s="1"/>
  <c r="N827" i="33" s="1"/>
  <c r="M827" i="33" s="1"/>
  <c r="J826" i="33"/>
  <c r="K826" i="33" s="1"/>
  <c r="N826" i="33" s="1"/>
  <c r="M826" i="33" s="1"/>
  <c r="J825" i="33"/>
  <c r="K825" i="33" s="1"/>
  <c r="N825" i="33" s="1"/>
  <c r="M825" i="33" s="1"/>
  <c r="J824" i="33"/>
  <c r="K824" i="33" s="1"/>
  <c r="N824" i="33" s="1"/>
  <c r="M824" i="33" s="1"/>
  <c r="J823" i="33"/>
  <c r="K823" i="33" s="1"/>
  <c r="N823" i="33" s="1"/>
  <c r="M823" i="33" s="1"/>
  <c r="J822" i="33"/>
  <c r="K822" i="33" s="1"/>
  <c r="N822" i="33" s="1"/>
  <c r="M822" i="33" s="1"/>
  <c r="J821" i="33"/>
  <c r="K821" i="33" s="1"/>
  <c r="N821" i="33" s="1"/>
  <c r="M821" i="33" s="1"/>
  <c r="J820" i="33"/>
  <c r="K820" i="33" s="1"/>
  <c r="N820" i="33" s="1"/>
  <c r="M820" i="33" s="1"/>
  <c r="J819" i="33"/>
  <c r="K819" i="33" s="1"/>
  <c r="N819" i="33" s="1"/>
  <c r="M819" i="33" s="1"/>
  <c r="J818" i="33"/>
  <c r="K818" i="33" s="1"/>
  <c r="N818" i="33" s="1"/>
  <c r="M818" i="33" s="1"/>
  <c r="J817" i="33"/>
  <c r="K817" i="33" s="1"/>
  <c r="N817" i="33" s="1"/>
  <c r="M817" i="33" s="1"/>
  <c r="J816" i="33"/>
  <c r="K816" i="33" s="1"/>
  <c r="N816" i="33" s="1"/>
  <c r="M816" i="33" s="1"/>
  <c r="J815" i="33"/>
  <c r="K815" i="33" s="1"/>
  <c r="N815" i="33" s="1"/>
  <c r="M815" i="33" s="1"/>
  <c r="J814" i="33"/>
  <c r="K814" i="33" s="1"/>
  <c r="N814" i="33" s="1"/>
  <c r="M814" i="33" s="1"/>
  <c r="J813" i="33"/>
  <c r="K813" i="33" s="1"/>
  <c r="N813" i="33" s="1"/>
  <c r="M813" i="33" s="1"/>
  <c r="J812" i="33"/>
  <c r="K812" i="33" s="1"/>
  <c r="N812" i="33" s="1"/>
  <c r="M812" i="33" s="1"/>
  <c r="J811" i="33"/>
  <c r="K811" i="33" s="1"/>
  <c r="N811" i="33" s="1"/>
  <c r="M811" i="33" s="1"/>
  <c r="J810" i="33"/>
  <c r="K810" i="33" s="1"/>
  <c r="N810" i="33" s="1"/>
  <c r="M810" i="33" s="1"/>
  <c r="J809" i="33"/>
  <c r="K809" i="33" s="1"/>
  <c r="N809" i="33" s="1"/>
  <c r="M809" i="33" s="1"/>
  <c r="J808" i="33"/>
  <c r="K808" i="33" s="1"/>
  <c r="N808" i="33" s="1"/>
  <c r="M808" i="33" s="1"/>
  <c r="J807" i="33"/>
  <c r="K807" i="33" s="1"/>
  <c r="N807" i="33" s="1"/>
  <c r="M807" i="33" s="1"/>
  <c r="J806" i="33"/>
  <c r="K806" i="33" s="1"/>
  <c r="N806" i="33" s="1"/>
  <c r="M806" i="33" s="1"/>
  <c r="J805" i="33"/>
  <c r="K805" i="33" s="1"/>
  <c r="N805" i="33" s="1"/>
  <c r="M805" i="33" s="1"/>
  <c r="J804" i="33"/>
  <c r="K804" i="33" s="1"/>
  <c r="N804" i="33" s="1"/>
  <c r="M804" i="33" s="1"/>
  <c r="J803" i="33"/>
  <c r="K803" i="33" s="1"/>
  <c r="N803" i="33" s="1"/>
  <c r="M803" i="33" s="1"/>
  <c r="J802" i="33"/>
  <c r="K802" i="33" s="1"/>
  <c r="N802" i="33" s="1"/>
  <c r="M802" i="33" s="1"/>
  <c r="J801" i="33"/>
  <c r="K801" i="33" s="1"/>
  <c r="N801" i="33" s="1"/>
  <c r="M801" i="33" s="1"/>
  <c r="J800" i="33"/>
  <c r="K800" i="33" s="1"/>
  <c r="N800" i="33" s="1"/>
  <c r="M800" i="33" s="1"/>
  <c r="J799" i="33"/>
  <c r="K799" i="33" s="1"/>
  <c r="N799" i="33" s="1"/>
  <c r="M799" i="33" s="1"/>
  <c r="J798" i="33"/>
  <c r="K798" i="33" s="1"/>
  <c r="N798" i="33" s="1"/>
  <c r="M798" i="33" s="1"/>
  <c r="J797" i="33"/>
  <c r="K797" i="33" s="1"/>
  <c r="N797" i="33" s="1"/>
  <c r="M797" i="33" s="1"/>
  <c r="J796" i="33"/>
  <c r="K796" i="33" s="1"/>
  <c r="N796" i="33" s="1"/>
  <c r="M796" i="33" s="1"/>
  <c r="J795" i="33"/>
  <c r="K795" i="33" s="1"/>
  <c r="N795" i="33" s="1"/>
  <c r="M795" i="33" s="1"/>
  <c r="J794" i="33"/>
  <c r="K794" i="33" s="1"/>
  <c r="N794" i="33" s="1"/>
  <c r="M794" i="33" s="1"/>
  <c r="J793" i="33"/>
  <c r="K793" i="33" s="1"/>
  <c r="N793" i="33" s="1"/>
  <c r="M793" i="33" s="1"/>
  <c r="J792" i="33"/>
  <c r="K792" i="33" s="1"/>
  <c r="N792" i="33" s="1"/>
  <c r="M792" i="33" s="1"/>
  <c r="J791" i="33"/>
  <c r="K791" i="33" s="1"/>
  <c r="N791" i="33" s="1"/>
  <c r="M791" i="33" s="1"/>
  <c r="J790" i="33"/>
  <c r="K790" i="33" s="1"/>
  <c r="N790" i="33" s="1"/>
  <c r="M790" i="33" s="1"/>
  <c r="J789" i="33"/>
  <c r="K789" i="33" s="1"/>
  <c r="N789" i="33" s="1"/>
  <c r="M789" i="33" s="1"/>
  <c r="J788" i="33"/>
  <c r="K788" i="33" s="1"/>
  <c r="N788" i="33" s="1"/>
  <c r="M788" i="33" s="1"/>
  <c r="J787" i="33"/>
  <c r="K787" i="33" s="1"/>
  <c r="N787" i="33" s="1"/>
  <c r="M787" i="33" s="1"/>
  <c r="J786" i="33"/>
  <c r="K786" i="33" s="1"/>
  <c r="N786" i="33" s="1"/>
  <c r="M786" i="33" s="1"/>
  <c r="J785" i="33"/>
  <c r="K785" i="33" s="1"/>
  <c r="N785" i="33" s="1"/>
  <c r="M785" i="33" s="1"/>
  <c r="J784" i="33"/>
  <c r="K784" i="33" s="1"/>
  <c r="N784" i="33" s="1"/>
  <c r="M784" i="33" s="1"/>
  <c r="J783" i="33"/>
  <c r="K783" i="33" s="1"/>
  <c r="N783" i="33" s="1"/>
  <c r="M783" i="33" s="1"/>
  <c r="J782" i="33"/>
  <c r="K782" i="33" s="1"/>
  <c r="N782" i="33" s="1"/>
  <c r="M782" i="33" s="1"/>
  <c r="J781" i="33"/>
  <c r="K781" i="33" s="1"/>
  <c r="N781" i="33" s="1"/>
  <c r="M781" i="33" s="1"/>
  <c r="J780" i="33"/>
  <c r="K780" i="33" s="1"/>
  <c r="N780" i="33" s="1"/>
  <c r="M780" i="33" s="1"/>
  <c r="J779" i="33"/>
  <c r="K779" i="33" s="1"/>
  <c r="N779" i="33" s="1"/>
  <c r="M779" i="33" s="1"/>
  <c r="J778" i="33"/>
  <c r="K778" i="33" s="1"/>
  <c r="N778" i="33" s="1"/>
  <c r="M778" i="33" s="1"/>
  <c r="J777" i="33"/>
  <c r="K777" i="33" s="1"/>
  <c r="N777" i="33" s="1"/>
  <c r="M777" i="33" s="1"/>
  <c r="J776" i="33"/>
  <c r="K776" i="33" s="1"/>
  <c r="N776" i="33" s="1"/>
  <c r="M776" i="33" s="1"/>
  <c r="J775" i="33"/>
  <c r="K775" i="33" s="1"/>
  <c r="N775" i="33" s="1"/>
  <c r="M775" i="33" s="1"/>
  <c r="J774" i="33"/>
  <c r="K774" i="33" s="1"/>
  <c r="N774" i="33" s="1"/>
  <c r="M774" i="33" s="1"/>
  <c r="J773" i="33"/>
  <c r="K773" i="33" s="1"/>
  <c r="N773" i="33" s="1"/>
  <c r="M773" i="33" s="1"/>
  <c r="J772" i="33"/>
  <c r="K772" i="33" s="1"/>
  <c r="N772" i="33" s="1"/>
  <c r="M772" i="33" s="1"/>
  <c r="J771" i="33"/>
  <c r="K771" i="33" s="1"/>
  <c r="N771" i="33" s="1"/>
  <c r="M771" i="33" s="1"/>
  <c r="J770" i="33"/>
  <c r="K770" i="33" s="1"/>
  <c r="N770" i="33" s="1"/>
  <c r="M770" i="33" s="1"/>
  <c r="J769" i="33"/>
  <c r="K769" i="33" s="1"/>
  <c r="N769" i="33" s="1"/>
  <c r="M769" i="33" s="1"/>
  <c r="J768" i="33"/>
  <c r="K768" i="33" s="1"/>
  <c r="N768" i="33" s="1"/>
  <c r="M768" i="33" s="1"/>
  <c r="J767" i="33"/>
  <c r="K767" i="33" s="1"/>
  <c r="N767" i="33" s="1"/>
  <c r="M767" i="33" s="1"/>
  <c r="J766" i="33"/>
  <c r="K766" i="33" s="1"/>
  <c r="N766" i="33" s="1"/>
  <c r="M766" i="33" s="1"/>
  <c r="J765" i="33"/>
  <c r="K765" i="33" s="1"/>
  <c r="N765" i="33" s="1"/>
  <c r="M765" i="33" s="1"/>
  <c r="J764" i="33"/>
  <c r="K764" i="33" s="1"/>
  <c r="N764" i="33" s="1"/>
  <c r="M764" i="33" s="1"/>
  <c r="J763" i="33"/>
  <c r="K763" i="33" s="1"/>
  <c r="N763" i="33" s="1"/>
  <c r="M763" i="33" s="1"/>
  <c r="J762" i="33"/>
  <c r="K762" i="33" s="1"/>
  <c r="N762" i="33" s="1"/>
  <c r="M762" i="33" s="1"/>
  <c r="J761" i="33"/>
  <c r="K761" i="33" s="1"/>
  <c r="N761" i="33" s="1"/>
  <c r="M761" i="33" s="1"/>
  <c r="J760" i="33"/>
  <c r="K760" i="33" s="1"/>
  <c r="N760" i="33" s="1"/>
  <c r="M760" i="33" s="1"/>
  <c r="J759" i="33"/>
  <c r="K759" i="33" s="1"/>
  <c r="N759" i="33" s="1"/>
  <c r="M759" i="33" s="1"/>
  <c r="J758" i="33"/>
  <c r="K758" i="33" s="1"/>
  <c r="N758" i="33" s="1"/>
  <c r="M758" i="33" s="1"/>
  <c r="J757" i="33"/>
  <c r="K757" i="33" s="1"/>
  <c r="N757" i="33" s="1"/>
  <c r="M757" i="33" s="1"/>
  <c r="J756" i="33"/>
  <c r="K756" i="33" s="1"/>
  <c r="N756" i="33" s="1"/>
  <c r="M756" i="33" s="1"/>
  <c r="J755" i="33"/>
  <c r="J754" i="33"/>
  <c r="K754" i="33" s="1"/>
  <c r="N754" i="33" s="1"/>
  <c r="M754" i="33" s="1"/>
  <c r="J751" i="33"/>
  <c r="K751" i="33" s="1"/>
  <c r="N751" i="33" s="1"/>
  <c r="M751" i="33" s="1"/>
  <c r="J750" i="33"/>
  <c r="K750" i="33" s="1"/>
  <c r="N750" i="33" s="1"/>
  <c r="M750" i="33" s="1"/>
  <c r="J749" i="33"/>
  <c r="K749" i="33" s="1"/>
  <c r="N749" i="33" s="1"/>
  <c r="M749" i="33" s="1"/>
  <c r="J748" i="33"/>
  <c r="K748" i="33" s="1"/>
  <c r="N748" i="33" s="1"/>
  <c r="M748" i="33" s="1"/>
  <c r="J747" i="33"/>
  <c r="K747" i="33" s="1"/>
  <c r="N747" i="33" s="1"/>
  <c r="M747" i="33" s="1"/>
  <c r="J746" i="33"/>
  <c r="K746" i="33" s="1"/>
  <c r="N746" i="33" s="1"/>
  <c r="M746" i="33" s="1"/>
  <c r="J745" i="33"/>
  <c r="K745" i="33" s="1"/>
  <c r="N745" i="33" s="1"/>
  <c r="M745" i="33" s="1"/>
  <c r="J744" i="33"/>
  <c r="K744" i="33" s="1"/>
  <c r="N744" i="33" s="1"/>
  <c r="M744" i="33" s="1"/>
  <c r="J743" i="33"/>
  <c r="K743" i="33" s="1"/>
  <c r="N743" i="33" s="1"/>
  <c r="M743" i="33" s="1"/>
  <c r="J742" i="33"/>
  <c r="K742" i="33" s="1"/>
  <c r="N742" i="33" s="1"/>
  <c r="M742" i="33" s="1"/>
  <c r="J741" i="33"/>
  <c r="K741" i="33" s="1"/>
  <c r="N741" i="33" s="1"/>
  <c r="M741" i="33" s="1"/>
  <c r="J740" i="33"/>
  <c r="K740" i="33" s="1"/>
  <c r="N740" i="33" s="1"/>
  <c r="M740" i="33" s="1"/>
  <c r="J739" i="33"/>
  <c r="K739" i="33" s="1"/>
  <c r="N739" i="33" s="1"/>
  <c r="M739" i="33" s="1"/>
  <c r="J738" i="33"/>
  <c r="K738" i="33" s="1"/>
  <c r="N738" i="33" s="1"/>
  <c r="M738" i="33" s="1"/>
  <c r="J737" i="33"/>
  <c r="K737" i="33" s="1"/>
  <c r="N737" i="33" s="1"/>
  <c r="M737" i="33" s="1"/>
  <c r="J736" i="33"/>
  <c r="K736" i="33" s="1"/>
  <c r="N736" i="33" s="1"/>
  <c r="M736" i="33" s="1"/>
  <c r="J735" i="33"/>
  <c r="K735" i="33" s="1"/>
  <c r="N735" i="33" s="1"/>
  <c r="M735" i="33" s="1"/>
  <c r="J734" i="33"/>
  <c r="K734" i="33" s="1"/>
  <c r="N734" i="33" s="1"/>
  <c r="M734" i="33" s="1"/>
  <c r="J733" i="33"/>
  <c r="K733" i="33" s="1"/>
  <c r="N733" i="33" s="1"/>
  <c r="M733" i="33" s="1"/>
  <c r="J732" i="33"/>
  <c r="K732" i="33" s="1"/>
  <c r="N732" i="33" s="1"/>
  <c r="M732" i="33" s="1"/>
  <c r="J731" i="33"/>
  <c r="K731" i="33" s="1"/>
  <c r="N731" i="33" s="1"/>
  <c r="M731" i="33" s="1"/>
  <c r="J730" i="33"/>
  <c r="K730" i="33" s="1"/>
  <c r="N730" i="33" s="1"/>
  <c r="M730" i="33" s="1"/>
  <c r="J729" i="33"/>
  <c r="K729" i="33" s="1"/>
  <c r="N729" i="33" s="1"/>
  <c r="M729" i="33" s="1"/>
  <c r="J728" i="33"/>
  <c r="K728" i="33" s="1"/>
  <c r="N728" i="33" s="1"/>
  <c r="M728" i="33" s="1"/>
  <c r="J727" i="33"/>
  <c r="K727" i="33" s="1"/>
  <c r="N727" i="33" s="1"/>
  <c r="M727" i="33" s="1"/>
  <c r="J726" i="33"/>
  <c r="K726" i="33" s="1"/>
  <c r="N726" i="33" s="1"/>
  <c r="M726" i="33" s="1"/>
  <c r="J725" i="33"/>
  <c r="K725" i="33" s="1"/>
  <c r="N725" i="33" s="1"/>
  <c r="M725" i="33" s="1"/>
  <c r="J724" i="33"/>
  <c r="K724" i="33" s="1"/>
  <c r="N724" i="33" s="1"/>
  <c r="M724" i="33" s="1"/>
  <c r="J723" i="33"/>
  <c r="K723" i="33" s="1"/>
  <c r="N723" i="33" s="1"/>
  <c r="M723" i="33" s="1"/>
  <c r="J722" i="33"/>
  <c r="K722" i="33" s="1"/>
  <c r="N722" i="33" s="1"/>
  <c r="M722" i="33" s="1"/>
  <c r="J721" i="33"/>
  <c r="K721" i="33" s="1"/>
  <c r="N721" i="33" s="1"/>
  <c r="M721" i="33" s="1"/>
  <c r="J720" i="33"/>
  <c r="K720" i="33" s="1"/>
  <c r="N720" i="33" s="1"/>
  <c r="M720" i="33" s="1"/>
  <c r="J719" i="33"/>
  <c r="K719" i="33" s="1"/>
  <c r="N719" i="33" s="1"/>
  <c r="M719" i="33" s="1"/>
  <c r="J718" i="33"/>
  <c r="K718" i="33" s="1"/>
  <c r="N718" i="33" s="1"/>
  <c r="M718" i="33" s="1"/>
  <c r="J717" i="33"/>
  <c r="K717" i="33" s="1"/>
  <c r="N717" i="33" s="1"/>
  <c r="M717" i="33" s="1"/>
  <c r="J716" i="33"/>
  <c r="K716" i="33" s="1"/>
  <c r="N716" i="33" s="1"/>
  <c r="M716" i="33" s="1"/>
  <c r="J715" i="33"/>
  <c r="K715" i="33" s="1"/>
  <c r="N715" i="33" s="1"/>
  <c r="M715" i="33" s="1"/>
  <c r="J714" i="33"/>
  <c r="K714" i="33" s="1"/>
  <c r="N714" i="33" s="1"/>
  <c r="M714" i="33" s="1"/>
  <c r="J713" i="33"/>
  <c r="K713" i="33" s="1"/>
  <c r="N713" i="33" s="1"/>
  <c r="M713" i="33" s="1"/>
  <c r="J712" i="33"/>
  <c r="K712" i="33" s="1"/>
  <c r="N712" i="33" s="1"/>
  <c r="M712" i="33" s="1"/>
  <c r="J711" i="33"/>
  <c r="K711" i="33" s="1"/>
  <c r="N711" i="33" s="1"/>
  <c r="M711" i="33" s="1"/>
  <c r="J710" i="33"/>
  <c r="K710" i="33" s="1"/>
  <c r="N710" i="33" s="1"/>
  <c r="M710" i="33" s="1"/>
  <c r="J709" i="33"/>
  <c r="K709" i="33" s="1"/>
  <c r="N709" i="33" s="1"/>
  <c r="M709" i="33" s="1"/>
  <c r="J708" i="33"/>
  <c r="K708" i="33" s="1"/>
  <c r="N708" i="33" s="1"/>
  <c r="M708" i="33" s="1"/>
  <c r="J707" i="33"/>
  <c r="K707" i="33" s="1"/>
  <c r="N707" i="33" s="1"/>
  <c r="M707" i="33" s="1"/>
  <c r="J706" i="33"/>
  <c r="K706" i="33" s="1"/>
  <c r="N706" i="33" s="1"/>
  <c r="M706" i="33" s="1"/>
  <c r="J705" i="33"/>
  <c r="K705" i="33" s="1"/>
  <c r="N705" i="33" s="1"/>
  <c r="M705" i="33" s="1"/>
  <c r="J704" i="33"/>
  <c r="K704" i="33" s="1"/>
  <c r="N704" i="33" s="1"/>
  <c r="M704" i="33" s="1"/>
  <c r="J703" i="33"/>
  <c r="K703" i="33" s="1"/>
  <c r="N703" i="33" s="1"/>
  <c r="M703" i="33" s="1"/>
  <c r="J702" i="33"/>
  <c r="K702" i="33" s="1"/>
  <c r="N702" i="33" s="1"/>
  <c r="M702" i="33" s="1"/>
  <c r="J701" i="33"/>
  <c r="K701" i="33" s="1"/>
  <c r="N701" i="33" s="1"/>
  <c r="M701" i="33" s="1"/>
  <c r="J700" i="33"/>
  <c r="K700" i="33" s="1"/>
  <c r="N700" i="33" s="1"/>
  <c r="M700" i="33" s="1"/>
  <c r="J699" i="33"/>
  <c r="K699" i="33" s="1"/>
  <c r="N699" i="33" s="1"/>
  <c r="M699" i="33" s="1"/>
  <c r="J698" i="33"/>
  <c r="K698" i="33" s="1"/>
  <c r="N698" i="33" s="1"/>
  <c r="M698" i="33" s="1"/>
  <c r="J697" i="33"/>
  <c r="K697" i="33" s="1"/>
  <c r="N697" i="33" s="1"/>
  <c r="M697" i="33" s="1"/>
  <c r="J696" i="33"/>
  <c r="K696" i="33" s="1"/>
  <c r="N696" i="33" s="1"/>
  <c r="M696" i="33" s="1"/>
  <c r="J695" i="33"/>
  <c r="K695" i="33" s="1"/>
  <c r="N695" i="33" s="1"/>
  <c r="M695" i="33" s="1"/>
  <c r="J694" i="33"/>
  <c r="K694" i="33" s="1"/>
  <c r="N694" i="33" s="1"/>
  <c r="M694" i="33" s="1"/>
  <c r="J693" i="33"/>
  <c r="K693" i="33" s="1"/>
  <c r="N693" i="33" s="1"/>
  <c r="M693" i="33" s="1"/>
  <c r="J692" i="33"/>
  <c r="K692" i="33" s="1"/>
  <c r="N692" i="33" s="1"/>
  <c r="M692" i="33" s="1"/>
  <c r="J691" i="33"/>
  <c r="K691" i="33" s="1"/>
  <c r="N691" i="33" s="1"/>
  <c r="M691" i="33" s="1"/>
  <c r="J690" i="33"/>
  <c r="K690" i="33" s="1"/>
  <c r="N690" i="33" s="1"/>
  <c r="M690" i="33" s="1"/>
  <c r="J689" i="33"/>
  <c r="K689" i="33" s="1"/>
  <c r="N689" i="33" s="1"/>
  <c r="M689" i="33" s="1"/>
  <c r="J688" i="33"/>
  <c r="K688" i="33" s="1"/>
  <c r="N688" i="33" s="1"/>
  <c r="M688" i="33" s="1"/>
  <c r="J687" i="33"/>
  <c r="K687" i="33" s="1"/>
  <c r="N687" i="33" s="1"/>
  <c r="M687" i="33" s="1"/>
  <c r="J686" i="33"/>
  <c r="K686" i="33" s="1"/>
  <c r="N686" i="33" s="1"/>
  <c r="M686" i="33" s="1"/>
  <c r="J685" i="33"/>
  <c r="K685" i="33" s="1"/>
  <c r="N685" i="33" s="1"/>
  <c r="M685" i="33" s="1"/>
  <c r="J684" i="33"/>
  <c r="K684" i="33" s="1"/>
  <c r="N684" i="33" s="1"/>
  <c r="M684" i="33" s="1"/>
  <c r="J683" i="33"/>
  <c r="K683" i="33" s="1"/>
  <c r="N683" i="33" s="1"/>
  <c r="M683" i="33" s="1"/>
  <c r="J682" i="33"/>
  <c r="K682" i="33" s="1"/>
  <c r="N682" i="33" s="1"/>
  <c r="M682" i="33" s="1"/>
  <c r="J681" i="33"/>
  <c r="K681" i="33" s="1"/>
  <c r="N681" i="33" s="1"/>
  <c r="M681" i="33" s="1"/>
  <c r="J680" i="33"/>
  <c r="K680" i="33" s="1"/>
  <c r="N680" i="33" s="1"/>
  <c r="M680" i="33" s="1"/>
  <c r="J679" i="33"/>
  <c r="K679" i="33" s="1"/>
  <c r="N679" i="33" s="1"/>
  <c r="M679" i="33" s="1"/>
  <c r="J678" i="33"/>
  <c r="K678" i="33" s="1"/>
  <c r="N678" i="33" s="1"/>
  <c r="M678" i="33" s="1"/>
  <c r="J677" i="33"/>
  <c r="K677" i="33" s="1"/>
  <c r="N677" i="33" s="1"/>
  <c r="M677" i="33" s="1"/>
  <c r="J676" i="33"/>
  <c r="K676" i="33" s="1"/>
  <c r="N676" i="33" s="1"/>
  <c r="M676" i="33" s="1"/>
  <c r="J675" i="33"/>
  <c r="K675" i="33" s="1"/>
  <c r="N675" i="33" s="1"/>
  <c r="M675" i="33" s="1"/>
  <c r="J674" i="33"/>
  <c r="K674" i="33" s="1"/>
  <c r="N674" i="33" s="1"/>
  <c r="M674" i="33" s="1"/>
  <c r="J673" i="33"/>
  <c r="K673" i="33" s="1"/>
  <c r="N673" i="33" s="1"/>
  <c r="M673" i="33" s="1"/>
  <c r="J672" i="33"/>
  <c r="K672" i="33" s="1"/>
  <c r="N672" i="33" s="1"/>
  <c r="M672" i="33" s="1"/>
  <c r="J671" i="33"/>
  <c r="K671" i="33" s="1"/>
  <c r="N671" i="33" s="1"/>
  <c r="M671" i="33" s="1"/>
  <c r="J670" i="33"/>
  <c r="K670" i="33" s="1"/>
  <c r="N670" i="33" s="1"/>
  <c r="M670" i="33" s="1"/>
  <c r="J669" i="33"/>
  <c r="K669" i="33" s="1"/>
  <c r="N669" i="33" s="1"/>
  <c r="M669" i="33" s="1"/>
  <c r="J668" i="33"/>
  <c r="K668" i="33" s="1"/>
  <c r="N668" i="33" s="1"/>
  <c r="M668" i="33" s="1"/>
  <c r="J667" i="33"/>
  <c r="K667" i="33" s="1"/>
  <c r="N667" i="33" s="1"/>
  <c r="M667" i="33" s="1"/>
  <c r="J666" i="33"/>
  <c r="K666" i="33" s="1"/>
  <c r="N666" i="33" s="1"/>
  <c r="M666" i="33" s="1"/>
  <c r="J665" i="33"/>
  <c r="K665" i="33" s="1"/>
  <c r="N665" i="33" s="1"/>
  <c r="M665" i="33" s="1"/>
  <c r="J664" i="33"/>
  <c r="K664" i="33" s="1"/>
  <c r="N664" i="33" s="1"/>
  <c r="M664" i="33" s="1"/>
  <c r="J663" i="33"/>
  <c r="K663" i="33" s="1"/>
  <c r="N663" i="33" s="1"/>
  <c r="M663" i="33" s="1"/>
  <c r="J9" i="8"/>
  <c r="J662" i="33"/>
  <c r="K662" i="33" s="1"/>
  <c r="N662" i="33" s="1"/>
  <c r="M662" i="33" s="1"/>
  <c r="J661" i="33"/>
  <c r="K661" i="33" s="1"/>
  <c r="N661" i="33" s="1"/>
  <c r="M661" i="33" s="1"/>
  <c r="J8" i="8"/>
  <c r="J660" i="33"/>
  <c r="K660" i="33" s="1"/>
  <c r="N660" i="33" s="1"/>
  <c r="M660" i="33" s="1"/>
  <c r="J659" i="33"/>
  <c r="K659" i="33" s="1"/>
  <c r="N659" i="33" s="1"/>
  <c r="M659" i="33" s="1"/>
  <c r="J658" i="33"/>
  <c r="K658" i="33" s="1"/>
  <c r="N658" i="33" s="1"/>
  <c r="M658" i="33" s="1"/>
  <c r="J657" i="33"/>
  <c r="K657" i="33" s="1"/>
  <c r="N657" i="33" s="1"/>
  <c r="M657" i="33" s="1"/>
  <c r="J656" i="33"/>
  <c r="K656" i="33" s="1"/>
  <c r="N656" i="33" s="1"/>
  <c r="M656" i="33" s="1"/>
  <c r="J655" i="33"/>
  <c r="K655" i="33" s="1"/>
  <c r="N655" i="33" s="1"/>
  <c r="M655" i="33" s="1"/>
  <c r="J654" i="33"/>
  <c r="K654" i="33" s="1"/>
  <c r="N654" i="33" s="1"/>
  <c r="M654" i="33" s="1"/>
  <c r="J653" i="33"/>
  <c r="K653" i="33" s="1"/>
  <c r="N653" i="33" s="1"/>
  <c r="M653" i="33" s="1"/>
  <c r="J652" i="33"/>
  <c r="K652" i="33" s="1"/>
  <c r="N652" i="33" s="1"/>
  <c r="M652" i="33" s="1"/>
  <c r="J651" i="33"/>
  <c r="K651" i="33" s="1"/>
  <c r="N651" i="33" s="1"/>
  <c r="M651" i="33" s="1"/>
  <c r="J7" i="8"/>
  <c r="J650" i="33"/>
  <c r="K650" i="33" s="1"/>
  <c r="N650" i="33" s="1"/>
  <c r="M650" i="33" s="1"/>
  <c r="J649" i="33"/>
  <c r="K649" i="33" s="1"/>
  <c r="N649" i="33" s="1"/>
  <c r="M649" i="33" s="1"/>
  <c r="J6" i="8"/>
  <c r="J648" i="33"/>
  <c r="K648" i="33" s="1"/>
  <c r="N648" i="33" s="1"/>
  <c r="M648" i="33" s="1"/>
  <c r="J647" i="33"/>
  <c r="K647" i="33" s="1"/>
  <c r="N647" i="33" s="1"/>
  <c r="M647" i="33" s="1"/>
  <c r="J646" i="33"/>
  <c r="K646" i="33" s="1"/>
  <c r="N646" i="33" s="1"/>
  <c r="M646" i="33" s="1"/>
  <c r="J645" i="33"/>
  <c r="K645" i="33" s="1"/>
  <c r="N645" i="33" s="1"/>
  <c r="M645" i="33" s="1"/>
  <c r="J644" i="33"/>
  <c r="K644" i="33" s="1"/>
  <c r="N644" i="33" s="1"/>
  <c r="M644" i="33" s="1"/>
  <c r="J11" i="8"/>
  <c r="J643" i="33"/>
  <c r="K643" i="33" s="1"/>
  <c r="N643" i="33" s="1"/>
  <c r="M643" i="33" s="1"/>
  <c r="J642" i="33"/>
  <c r="K642" i="33" s="1"/>
  <c r="N642" i="33" s="1"/>
  <c r="M642" i="33" s="1"/>
  <c r="J10" i="8"/>
  <c r="J641" i="33"/>
  <c r="K641" i="33" s="1"/>
  <c r="N641" i="33" s="1"/>
  <c r="M641" i="33" s="1"/>
  <c r="J640" i="33"/>
  <c r="K640" i="33" s="1"/>
  <c r="N640" i="33" s="1"/>
  <c r="M640" i="33" s="1"/>
  <c r="J639" i="33"/>
  <c r="K639" i="33" s="1"/>
  <c r="N639" i="33" s="1"/>
  <c r="M639" i="33" s="1"/>
  <c r="J638" i="33"/>
  <c r="K638" i="33" s="1"/>
  <c r="N638" i="33" s="1"/>
  <c r="M638" i="33" s="1"/>
  <c r="J637" i="33"/>
  <c r="K637" i="33" s="1"/>
  <c r="N637" i="33" s="1"/>
  <c r="M637" i="33" s="1"/>
  <c r="J5" i="8"/>
  <c r="J636" i="33"/>
  <c r="K636" i="33" s="1"/>
  <c r="N636" i="33" s="1"/>
  <c r="M636" i="33" s="1"/>
  <c r="J635" i="33"/>
  <c r="K635" i="33" s="1"/>
  <c r="N635" i="33" s="1"/>
  <c r="M635" i="33" s="1"/>
  <c r="J4" i="8"/>
  <c r="J634" i="33"/>
  <c r="K634" i="33" s="1"/>
  <c r="N634" i="33" s="1"/>
  <c r="M634" i="33" s="1"/>
  <c r="J633" i="33"/>
  <c r="K633" i="33" s="1"/>
  <c r="N633" i="33" s="1"/>
  <c r="M633" i="33" s="1"/>
  <c r="J632" i="33"/>
  <c r="K632" i="33" s="1"/>
  <c r="N632" i="33" s="1"/>
  <c r="M632" i="33" s="1"/>
  <c r="J631" i="33"/>
  <c r="K631" i="33" s="1"/>
  <c r="N631" i="33" s="1"/>
  <c r="M631" i="33" s="1"/>
  <c r="J630" i="33"/>
  <c r="K630" i="33" s="1"/>
  <c r="N630" i="33" s="1"/>
  <c r="M630" i="33" s="1"/>
  <c r="J629" i="33"/>
  <c r="K629" i="33" s="1"/>
  <c r="N629" i="33" s="1"/>
  <c r="M629" i="33" s="1"/>
  <c r="J628" i="33"/>
  <c r="K628" i="33" s="1"/>
  <c r="N628" i="33" s="1"/>
  <c r="M628" i="33" s="1"/>
  <c r="J627" i="33"/>
  <c r="K627" i="33" s="1"/>
  <c r="N627" i="33" s="1"/>
  <c r="M627" i="33" s="1"/>
  <c r="J626" i="33"/>
  <c r="K626" i="33" s="1"/>
  <c r="N626" i="33" s="1"/>
  <c r="M626" i="33" s="1"/>
  <c r="J625" i="33"/>
  <c r="K625" i="33" s="1"/>
  <c r="N625" i="33" s="1"/>
  <c r="M625" i="33" s="1"/>
  <c r="J624" i="33"/>
  <c r="K624" i="33" s="1"/>
  <c r="N624" i="33" s="1"/>
  <c r="M624" i="33" s="1"/>
  <c r="J623" i="33"/>
  <c r="K623" i="33" s="1"/>
  <c r="N623" i="33" s="1"/>
  <c r="M623" i="33" s="1"/>
  <c r="J622" i="33"/>
  <c r="K622" i="33" s="1"/>
  <c r="N622" i="33" s="1"/>
  <c r="M622" i="33" s="1"/>
  <c r="J621" i="33"/>
  <c r="K621" i="33" s="1"/>
  <c r="N621" i="33" s="1"/>
  <c r="M621" i="33" s="1"/>
  <c r="J620" i="33"/>
  <c r="K620" i="33" s="1"/>
  <c r="N620" i="33" s="1"/>
  <c r="M620" i="33" s="1"/>
  <c r="J619" i="33"/>
  <c r="K619" i="33" s="1"/>
  <c r="N619" i="33" s="1"/>
  <c r="M619" i="33" s="1"/>
  <c r="J618" i="33"/>
  <c r="K618" i="33" s="1"/>
  <c r="N618" i="33" s="1"/>
  <c r="M618" i="33" s="1"/>
  <c r="J617" i="33"/>
  <c r="K617" i="33" s="1"/>
  <c r="N617" i="33" s="1"/>
  <c r="M617" i="33" s="1"/>
  <c r="J616" i="33"/>
  <c r="K616" i="33" s="1"/>
  <c r="N616" i="33" s="1"/>
  <c r="M616" i="33" s="1"/>
  <c r="J615" i="33"/>
  <c r="K615" i="33" s="1"/>
  <c r="N615" i="33" s="1"/>
  <c r="M615" i="33" s="1"/>
  <c r="J614" i="33"/>
  <c r="K614" i="33" s="1"/>
  <c r="N614" i="33" s="1"/>
  <c r="M614" i="33" s="1"/>
  <c r="J613" i="33"/>
  <c r="K613" i="33" s="1"/>
  <c r="N613" i="33" s="1"/>
  <c r="M613" i="33" s="1"/>
  <c r="J612" i="33"/>
  <c r="K612" i="33" s="1"/>
  <c r="N612" i="33" s="1"/>
  <c r="M612" i="33" s="1"/>
  <c r="J611" i="33"/>
  <c r="K611" i="33" s="1"/>
  <c r="N611" i="33" s="1"/>
  <c r="M611" i="33" s="1"/>
  <c r="J610" i="33"/>
  <c r="K610" i="33" s="1"/>
  <c r="N610" i="33" s="1"/>
  <c r="M610" i="33" s="1"/>
  <c r="J609" i="33"/>
  <c r="K609" i="33" s="1"/>
  <c r="N609" i="33" s="1"/>
  <c r="M609" i="33" s="1"/>
  <c r="J608" i="33"/>
  <c r="K608" i="33" s="1"/>
  <c r="N608" i="33" s="1"/>
  <c r="M608" i="33" s="1"/>
  <c r="J607" i="33"/>
  <c r="K607" i="33" s="1"/>
  <c r="N607" i="33" s="1"/>
  <c r="M607" i="33" s="1"/>
  <c r="J606" i="33"/>
  <c r="K606" i="33" s="1"/>
  <c r="N606" i="33" s="1"/>
  <c r="M606" i="33" s="1"/>
  <c r="J605" i="33"/>
  <c r="K605" i="33" s="1"/>
  <c r="N605" i="33" s="1"/>
  <c r="M605" i="33" s="1"/>
  <c r="J604" i="33"/>
  <c r="K604" i="33" s="1"/>
  <c r="N604" i="33" s="1"/>
  <c r="M604" i="33" s="1"/>
  <c r="J603" i="33"/>
  <c r="K603" i="33" s="1"/>
  <c r="N603" i="33" s="1"/>
  <c r="M603" i="33" s="1"/>
  <c r="J602" i="33"/>
  <c r="K602" i="33" s="1"/>
  <c r="N602" i="33" s="1"/>
  <c r="M602" i="33" s="1"/>
  <c r="J601" i="33"/>
  <c r="K601" i="33" s="1"/>
  <c r="N601" i="33" s="1"/>
  <c r="M601" i="33" s="1"/>
  <c r="J600" i="33"/>
  <c r="K600" i="33" s="1"/>
  <c r="N600" i="33" s="1"/>
  <c r="M600" i="33" s="1"/>
  <c r="J599" i="33"/>
  <c r="K599" i="33" s="1"/>
  <c r="N599" i="33" s="1"/>
  <c r="M599" i="33" s="1"/>
  <c r="J598" i="33"/>
  <c r="K598" i="33" s="1"/>
  <c r="N598" i="33" s="1"/>
  <c r="M598" i="33" s="1"/>
  <c r="J597" i="33"/>
  <c r="K597" i="33" s="1"/>
  <c r="N597" i="33" s="1"/>
  <c r="M597" i="33" s="1"/>
  <c r="J596" i="33"/>
  <c r="K596" i="33" s="1"/>
  <c r="N596" i="33" s="1"/>
  <c r="M596" i="33" s="1"/>
  <c r="J595" i="33"/>
  <c r="K595" i="33" s="1"/>
  <c r="N595" i="33" s="1"/>
  <c r="M595" i="33" s="1"/>
  <c r="J594" i="33"/>
  <c r="K594" i="33" s="1"/>
  <c r="N594" i="33" s="1"/>
  <c r="M594" i="33" s="1"/>
  <c r="J593" i="33"/>
  <c r="K593" i="33" s="1"/>
  <c r="N593" i="33" s="1"/>
  <c r="M593" i="33" s="1"/>
  <c r="J592" i="33"/>
  <c r="K592" i="33" s="1"/>
  <c r="N592" i="33" s="1"/>
  <c r="M592" i="33" s="1"/>
  <c r="J591" i="33"/>
  <c r="K591" i="33" s="1"/>
  <c r="N591" i="33" s="1"/>
  <c r="M591" i="33" s="1"/>
  <c r="J590" i="33"/>
  <c r="K590" i="33" s="1"/>
  <c r="N590" i="33" s="1"/>
  <c r="M590" i="33" s="1"/>
  <c r="J589" i="33"/>
  <c r="K589" i="33" s="1"/>
  <c r="N589" i="33" s="1"/>
  <c r="M589" i="33" s="1"/>
  <c r="J588" i="33"/>
  <c r="K588" i="33" s="1"/>
  <c r="N588" i="33" s="1"/>
  <c r="M588" i="33" s="1"/>
  <c r="J587" i="33"/>
  <c r="K587" i="33" s="1"/>
  <c r="N587" i="33" s="1"/>
  <c r="M587" i="33" s="1"/>
  <c r="J586" i="33"/>
  <c r="K586" i="33" s="1"/>
  <c r="N586" i="33" s="1"/>
  <c r="M586" i="33" s="1"/>
  <c r="J585" i="33"/>
  <c r="K585" i="33" s="1"/>
  <c r="N585" i="33" s="1"/>
  <c r="M585" i="33" s="1"/>
  <c r="J584" i="33"/>
  <c r="K584" i="33" s="1"/>
  <c r="N584" i="33" s="1"/>
  <c r="M584" i="33" s="1"/>
  <c r="J583" i="33"/>
  <c r="K583" i="33" s="1"/>
  <c r="N583" i="33" s="1"/>
  <c r="M583" i="33" s="1"/>
  <c r="J582" i="33"/>
  <c r="K582" i="33" s="1"/>
  <c r="N582" i="33" s="1"/>
  <c r="M582" i="33" s="1"/>
  <c r="J581" i="33"/>
  <c r="K581" i="33" s="1"/>
  <c r="N581" i="33" s="1"/>
  <c r="M581" i="33" s="1"/>
  <c r="J580" i="33"/>
  <c r="K580" i="33" s="1"/>
  <c r="N580" i="33" s="1"/>
  <c r="M580" i="33" s="1"/>
  <c r="J579" i="33"/>
  <c r="K579" i="33" s="1"/>
  <c r="N579" i="33" s="1"/>
  <c r="M579" i="33" s="1"/>
  <c r="J578" i="33"/>
  <c r="K578" i="33" s="1"/>
  <c r="N578" i="33" s="1"/>
  <c r="M578" i="33" s="1"/>
  <c r="J577" i="33"/>
  <c r="K577" i="33" s="1"/>
  <c r="N577" i="33" s="1"/>
  <c r="M577" i="33" s="1"/>
  <c r="J576" i="33"/>
  <c r="K576" i="33" s="1"/>
  <c r="N576" i="33" s="1"/>
  <c r="M576" i="33" s="1"/>
  <c r="J575" i="33"/>
  <c r="K575" i="33" s="1"/>
  <c r="N575" i="33" s="1"/>
  <c r="M575" i="33" s="1"/>
  <c r="J574" i="33"/>
  <c r="K574" i="33" s="1"/>
  <c r="N574" i="33" s="1"/>
  <c r="M574" i="33" s="1"/>
  <c r="J573" i="33"/>
  <c r="K573" i="33" s="1"/>
  <c r="N573" i="33" s="1"/>
  <c r="M573" i="33" s="1"/>
  <c r="J572" i="33"/>
  <c r="K572" i="33" s="1"/>
  <c r="N572" i="33" s="1"/>
  <c r="M572" i="33" s="1"/>
  <c r="J571" i="33"/>
  <c r="K571" i="33" s="1"/>
  <c r="N571" i="33" s="1"/>
  <c r="M571" i="33" s="1"/>
  <c r="J570" i="33"/>
  <c r="K570" i="33" s="1"/>
  <c r="N570" i="33" s="1"/>
  <c r="M570" i="33" s="1"/>
  <c r="J569" i="33"/>
  <c r="K569" i="33" s="1"/>
  <c r="N569" i="33" s="1"/>
  <c r="M569" i="33" s="1"/>
  <c r="J568" i="33"/>
  <c r="K568" i="33" s="1"/>
  <c r="N568" i="33" s="1"/>
  <c r="M568" i="33" s="1"/>
  <c r="J567" i="33"/>
  <c r="K567" i="33" s="1"/>
  <c r="N567" i="33" s="1"/>
  <c r="M567" i="33" s="1"/>
  <c r="J566" i="33"/>
  <c r="K566" i="33" s="1"/>
  <c r="N566" i="33" s="1"/>
  <c r="M566" i="33" s="1"/>
  <c r="J565" i="33"/>
  <c r="K565" i="33" s="1"/>
  <c r="N565" i="33" s="1"/>
  <c r="M565" i="33" s="1"/>
  <c r="J564" i="33"/>
  <c r="K564" i="33" s="1"/>
  <c r="N564" i="33" s="1"/>
  <c r="M564" i="33" s="1"/>
  <c r="J563" i="33"/>
  <c r="K563" i="33" s="1"/>
  <c r="N563" i="33" s="1"/>
  <c r="M563" i="33" s="1"/>
  <c r="J562" i="33"/>
  <c r="K562" i="33" s="1"/>
  <c r="N562" i="33" s="1"/>
  <c r="M562" i="33" s="1"/>
  <c r="J561" i="33"/>
  <c r="K561" i="33" s="1"/>
  <c r="N561" i="33" s="1"/>
  <c r="M561" i="33" s="1"/>
  <c r="J560" i="33"/>
  <c r="K560" i="33" s="1"/>
  <c r="N560" i="33" s="1"/>
  <c r="M560" i="33" s="1"/>
  <c r="J559" i="33"/>
  <c r="K559" i="33" s="1"/>
  <c r="N559" i="33" s="1"/>
  <c r="M559" i="33" s="1"/>
  <c r="J558" i="33"/>
  <c r="K558" i="33" s="1"/>
  <c r="N558" i="33" s="1"/>
  <c r="M558" i="33" s="1"/>
  <c r="J557" i="33"/>
  <c r="K557" i="33" s="1"/>
  <c r="N557" i="33" s="1"/>
  <c r="M557" i="33" s="1"/>
  <c r="J556" i="33"/>
  <c r="K556" i="33" s="1"/>
  <c r="N556" i="33" s="1"/>
  <c r="M556" i="33" s="1"/>
  <c r="J555" i="33"/>
  <c r="K555" i="33" s="1"/>
  <c r="N555" i="33" s="1"/>
  <c r="M555" i="33" s="1"/>
  <c r="J554" i="33"/>
  <c r="K554" i="33" s="1"/>
  <c r="N554" i="33" s="1"/>
  <c r="M554" i="33" s="1"/>
  <c r="J553" i="33"/>
  <c r="K553" i="33" s="1"/>
  <c r="N553" i="33" s="1"/>
  <c r="M553" i="33" s="1"/>
  <c r="J552" i="33"/>
  <c r="K552" i="33" s="1"/>
  <c r="N552" i="33" s="1"/>
  <c r="M552" i="33" s="1"/>
  <c r="J551" i="33"/>
  <c r="K551" i="33" s="1"/>
  <c r="N551" i="33" s="1"/>
  <c r="M551" i="33" s="1"/>
  <c r="J550" i="33"/>
  <c r="K550" i="33" s="1"/>
  <c r="N550" i="33" s="1"/>
  <c r="M550" i="33" s="1"/>
  <c r="J549" i="33"/>
  <c r="K549" i="33" s="1"/>
  <c r="N549" i="33" s="1"/>
  <c r="M549" i="33" s="1"/>
  <c r="J548" i="33"/>
  <c r="K548" i="33" s="1"/>
  <c r="N548" i="33" s="1"/>
  <c r="M548" i="33" s="1"/>
  <c r="J547" i="33"/>
  <c r="K547" i="33" s="1"/>
  <c r="N547" i="33" s="1"/>
  <c r="M547" i="33" s="1"/>
  <c r="J546" i="33"/>
  <c r="K546" i="33" s="1"/>
  <c r="N546" i="33" s="1"/>
  <c r="M546" i="33" s="1"/>
  <c r="J545" i="33"/>
  <c r="K545" i="33" s="1"/>
  <c r="N545" i="33" s="1"/>
  <c r="M545" i="33" s="1"/>
  <c r="J544" i="33"/>
  <c r="K544" i="33" s="1"/>
  <c r="N544" i="33" s="1"/>
  <c r="M544" i="33" s="1"/>
  <c r="J543" i="33"/>
  <c r="K543" i="33" s="1"/>
  <c r="N543" i="33" s="1"/>
  <c r="M543" i="33" s="1"/>
  <c r="J542" i="33"/>
  <c r="K542" i="33" s="1"/>
  <c r="N542" i="33" s="1"/>
  <c r="M542" i="33" s="1"/>
  <c r="J541" i="33"/>
  <c r="K541" i="33" s="1"/>
  <c r="N541" i="33" s="1"/>
  <c r="M541" i="33" s="1"/>
  <c r="J540" i="33"/>
  <c r="K540" i="33" s="1"/>
  <c r="N540" i="33" s="1"/>
  <c r="M540" i="33" s="1"/>
  <c r="J539" i="33"/>
  <c r="K539" i="33" s="1"/>
  <c r="N539" i="33" s="1"/>
  <c r="M539" i="33" s="1"/>
  <c r="J538" i="33"/>
  <c r="K538" i="33" s="1"/>
  <c r="N538" i="33" s="1"/>
  <c r="M538" i="33" s="1"/>
  <c r="J537" i="33"/>
  <c r="K537" i="33" s="1"/>
  <c r="N537" i="33" s="1"/>
  <c r="M537" i="33" s="1"/>
  <c r="J536" i="33"/>
  <c r="K536" i="33" s="1"/>
  <c r="N536" i="33" s="1"/>
  <c r="M536" i="33" s="1"/>
  <c r="J535" i="33"/>
  <c r="K535" i="33" s="1"/>
  <c r="N535" i="33" s="1"/>
  <c r="M535" i="33" s="1"/>
  <c r="J534" i="33"/>
  <c r="K534" i="33" s="1"/>
  <c r="N534" i="33" s="1"/>
  <c r="M534" i="33" s="1"/>
  <c r="J533" i="33"/>
  <c r="K533" i="33" s="1"/>
  <c r="N533" i="33" s="1"/>
  <c r="M533" i="33" s="1"/>
  <c r="J532" i="33"/>
  <c r="K532" i="33" s="1"/>
  <c r="N532" i="33" s="1"/>
  <c r="M532" i="33" s="1"/>
  <c r="J531" i="33"/>
  <c r="K531" i="33" s="1"/>
  <c r="N531" i="33" s="1"/>
  <c r="M531" i="33" s="1"/>
  <c r="J530" i="33"/>
  <c r="K530" i="33" s="1"/>
  <c r="N530" i="33" s="1"/>
  <c r="M530" i="33" s="1"/>
  <c r="J529" i="33"/>
  <c r="K529" i="33" s="1"/>
  <c r="N529" i="33" s="1"/>
  <c r="M529" i="33" s="1"/>
  <c r="J528" i="33"/>
  <c r="K528" i="33" s="1"/>
  <c r="N528" i="33" s="1"/>
  <c r="M528" i="33" s="1"/>
  <c r="J527" i="33"/>
  <c r="K527" i="33" s="1"/>
  <c r="N527" i="33" s="1"/>
  <c r="M527" i="33" s="1"/>
  <c r="J526" i="33"/>
  <c r="K526" i="33" s="1"/>
  <c r="N526" i="33" s="1"/>
  <c r="M526" i="33" s="1"/>
  <c r="J525" i="33"/>
  <c r="K525" i="33" s="1"/>
  <c r="N525" i="33" s="1"/>
  <c r="M525" i="33" s="1"/>
  <c r="J524" i="33"/>
  <c r="K524" i="33" s="1"/>
  <c r="N524" i="33" s="1"/>
  <c r="M524" i="33" s="1"/>
  <c r="J523" i="33"/>
  <c r="K523" i="33" s="1"/>
  <c r="N523" i="33" s="1"/>
  <c r="M523" i="33" s="1"/>
  <c r="J522" i="33"/>
  <c r="K522" i="33" s="1"/>
  <c r="N522" i="33" s="1"/>
  <c r="M522" i="33" s="1"/>
  <c r="J521" i="33"/>
  <c r="K521" i="33" s="1"/>
  <c r="N521" i="33" s="1"/>
  <c r="M521" i="33" s="1"/>
  <c r="J520" i="33"/>
  <c r="K520" i="33" s="1"/>
  <c r="N520" i="33" s="1"/>
  <c r="M520" i="33" s="1"/>
  <c r="J519" i="33"/>
  <c r="K519" i="33" s="1"/>
  <c r="N519" i="33" s="1"/>
  <c r="M519" i="33" s="1"/>
  <c r="J518" i="33"/>
  <c r="K518" i="33" s="1"/>
  <c r="N518" i="33" s="1"/>
  <c r="M518" i="33" s="1"/>
  <c r="J517" i="33"/>
  <c r="K517" i="33" s="1"/>
  <c r="N517" i="33" s="1"/>
  <c r="M517" i="33" s="1"/>
  <c r="J516" i="33"/>
  <c r="K516" i="33" s="1"/>
  <c r="N516" i="33" s="1"/>
  <c r="M516" i="33" s="1"/>
  <c r="J515" i="33"/>
  <c r="K515" i="33" s="1"/>
  <c r="N515" i="33" s="1"/>
  <c r="M515" i="33" s="1"/>
  <c r="J514" i="33"/>
  <c r="K514" i="33" s="1"/>
  <c r="N514" i="33" s="1"/>
  <c r="M514" i="33" s="1"/>
  <c r="J513" i="33"/>
  <c r="K513" i="33" s="1"/>
  <c r="N513" i="33" s="1"/>
  <c r="M513" i="33" s="1"/>
  <c r="J512" i="33"/>
  <c r="K512" i="33" s="1"/>
  <c r="N512" i="33" s="1"/>
  <c r="M512" i="33" s="1"/>
  <c r="J511" i="33"/>
  <c r="K511" i="33" s="1"/>
  <c r="N511" i="33" s="1"/>
  <c r="M511" i="33" s="1"/>
  <c r="J510" i="33"/>
  <c r="K510" i="33" s="1"/>
  <c r="N510" i="33" s="1"/>
  <c r="M510" i="33" s="1"/>
  <c r="J509" i="33"/>
  <c r="K509" i="33" s="1"/>
  <c r="N509" i="33" s="1"/>
  <c r="M509" i="33" s="1"/>
  <c r="J508" i="33"/>
  <c r="K508" i="33" s="1"/>
  <c r="N508" i="33" s="1"/>
  <c r="M508" i="33" s="1"/>
  <c r="J507" i="33"/>
  <c r="K507" i="33" s="1"/>
  <c r="N507" i="33" s="1"/>
  <c r="M507" i="33" s="1"/>
  <c r="J506" i="33"/>
  <c r="K506" i="33" s="1"/>
  <c r="N506" i="33" s="1"/>
  <c r="M506" i="33" s="1"/>
  <c r="J505" i="33"/>
  <c r="K505" i="33" s="1"/>
  <c r="N505" i="33" s="1"/>
  <c r="M505" i="33" s="1"/>
  <c r="J504" i="33"/>
  <c r="K504" i="33" s="1"/>
  <c r="N504" i="33" s="1"/>
  <c r="M504" i="33" s="1"/>
  <c r="J503" i="33"/>
  <c r="K503" i="33" s="1"/>
  <c r="N503" i="33" s="1"/>
  <c r="M503" i="33" s="1"/>
  <c r="J502" i="33"/>
  <c r="K502" i="33" s="1"/>
  <c r="N502" i="33" s="1"/>
  <c r="M502" i="33" s="1"/>
  <c r="J501" i="33"/>
  <c r="K501" i="33" s="1"/>
  <c r="N501" i="33" s="1"/>
  <c r="M501" i="33" s="1"/>
  <c r="J500" i="33"/>
  <c r="K500" i="33" s="1"/>
  <c r="N500" i="33" s="1"/>
  <c r="M500" i="33" s="1"/>
  <c r="J499" i="33"/>
  <c r="K499" i="33" s="1"/>
  <c r="N499" i="33" s="1"/>
  <c r="M499" i="33" s="1"/>
  <c r="J498" i="33"/>
  <c r="K498" i="33" s="1"/>
  <c r="N498" i="33" s="1"/>
  <c r="M498" i="33" s="1"/>
  <c r="J497" i="33"/>
  <c r="K497" i="33" s="1"/>
  <c r="N497" i="33" s="1"/>
  <c r="M497" i="33" s="1"/>
  <c r="J496" i="33"/>
  <c r="K496" i="33" s="1"/>
  <c r="N496" i="33" s="1"/>
  <c r="M496" i="33" s="1"/>
  <c r="J495" i="33"/>
  <c r="K495" i="33" s="1"/>
  <c r="N495" i="33" s="1"/>
  <c r="M495" i="33" s="1"/>
  <c r="J494" i="33"/>
  <c r="K494" i="33" s="1"/>
  <c r="N494" i="33" s="1"/>
  <c r="M494" i="33" s="1"/>
  <c r="J493" i="33"/>
  <c r="K493" i="33" s="1"/>
  <c r="N493" i="33" s="1"/>
  <c r="M493" i="33" s="1"/>
  <c r="J492" i="33"/>
  <c r="K492" i="33" s="1"/>
  <c r="N492" i="33" s="1"/>
  <c r="M492" i="33" s="1"/>
  <c r="J491" i="33"/>
  <c r="K491" i="33" s="1"/>
  <c r="N491" i="33" s="1"/>
  <c r="M491" i="33" s="1"/>
  <c r="J490" i="33"/>
  <c r="K490" i="33" s="1"/>
  <c r="N490" i="33" s="1"/>
  <c r="M490" i="33" s="1"/>
  <c r="J489" i="33"/>
  <c r="K489" i="33" s="1"/>
  <c r="N489" i="33" s="1"/>
  <c r="M489" i="33" s="1"/>
  <c r="J488" i="33"/>
  <c r="K488" i="33" s="1"/>
  <c r="N488" i="33" s="1"/>
  <c r="M488" i="33" s="1"/>
  <c r="J487" i="33"/>
  <c r="K487" i="33" s="1"/>
  <c r="N487" i="33" s="1"/>
  <c r="M487" i="33" s="1"/>
  <c r="J486" i="33"/>
  <c r="K486" i="33" s="1"/>
  <c r="N486" i="33" s="1"/>
  <c r="M486" i="33" s="1"/>
  <c r="J485" i="33"/>
  <c r="K485" i="33" s="1"/>
  <c r="N485" i="33" s="1"/>
  <c r="M485" i="33" s="1"/>
  <c r="J484" i="33"/>
  <c r="K484" i="33" s="1"/>
  <c r="N484" i="33" s="1"/>
  <c r="M484" i="33" s="1"/>
  <c r="J483" i="33"/>
  <c r="K483" i="33" s="1"/>
  <c r="N483" i="33" s="1"/>
  <c r="M483" i="33" s="1"/>
  <c r="J482" i="33"/>
  <c r="K482" i="33" s="1"/>
  <c r="N482" i="33" s="1"/>
  <c r="M482" i="33" s="1"/>
  <c r="J481" i="33"/>
  <c r="K481" i="33" s="1"/>
  <c r="N481" i="33" s="1"/>
  <c r="M481" i="33" s="1"/>
  <c r="J480" i="33"/>
  <c r="K480" i="33" s="1"/>
  <c r="N480" i="33" s="1"/>
  <c r="M480" i="33" s="1"/>
  <c r="J479" i="33"/>
  <c r="K479" i="33" s="1"/>
  <c r="N479" i="33" s="1"/>
  <c r="M479" i="33" s="1"/>
  <c r="J478" i="33"/>
  <c r="K478" i="33" s="1"/>
  <c r="N478" i="33" s="1"/>
  <c r="M478" i="33" s="1"/>
  <c r="J477" i="33"/>
  <c r="K477" i="33" s="1"/>
  <c r="N477" i="33" s="1"/>
  <c r="M477" i="33" s="1"/>
  <c r="J476" i="33"/>
  <c r="K476" i="33" s="1"/>
  <c r="N476" i="33" s="1"/>
  <c r="M476" i="33" s="1"/>
  <c r="J475" i="33"/>
  <c r="K475" i="33" s="1"/>
  <c r="N475" i="33" s="1"/>
  <c r="M475" i="33" s="1"/>
  <c r="J474" i="33"/>
  <c r="K474" i="33" s="1"/>
  <c r="N474" i="33" s="1"/>
  <c r="M474" i="33" s="1"/>
  <c r="J473" i="33"/>
  <c r="K473" i="33" s="1"/>
  <c r="N473" i="33" s="1"/>
  <c r="M473" i="33" s="1"/>
  <c r="J472" i="33"/>
  <c r="K472" i="33" s="1"/>
  <c r="N472" i="33" s="1"/>
  <c r="M472" i="33" s="1"/>
  <c r="J471" i="33"/>
  <c r="K471" i="33" s="1"/>
  <c r="N471" i="33" s="1"/>
  <c r="M471" i="33" s="1"/>
  <c r="J470" i="33"/>
  <c r="K470" i="33" s="1"/>
  <c r="N470" i="33" s="1"/>
  <c r="M470" i="33" s="1"/>
  <c r="J469" i="33"/>
  <c r="K469" i="33" s="1"/>
  <c r="N469" i="33" s="1"/>
  <c r="M469" i="33" s="1"/>
  <c r="J468" i="33"/>
  <c r="K468" i="33" s="1"/>
  <c r="N468" i="33" s="1"/>
  <c r="M468" i="33" s="1"/>
  <c r="J467" i="33"/>
  <c r="K467" i="33" s="1"/>
  <c r="N467" i="33" s="1"/>
  <c r="M467" i="33" s="1"/>
  <c r="J466" i="33"/>
  <c r="K466" i="33" s="1"/>
  <c r="N466" i="33" s="1"/>
  <c r="M466" i="33" s="1"/>
  <c r="J465" i="33"/>
  <c r="K465" i="33" s="1"/>
  <c r="N465" i="33" s="1"/>
  <c r="M465" i="33" s="1"/>
  <c r="J464" i="33"/>
  <c r="K464" i="33" s="1"/>
  <c r="N464" i="33" s="1"/>
  <c r="M464" i="33" s="1"/>
  <c r="J463" i="33"/>
  <c r="K463" i="33" s="1"/>
  <c r="N463" i="33" s="1"/>
  <c r="M463" i="33" s="1"/>
  <c r="J462" i="33"/>
  <c r="K462" i="33" s="1"/>
  <c r="N462" i="33" s="1"/>
  <c r="M462" i="33" s="1"/>
  <c r="J461" i="33"/>
  <c r="K461" i="33" s="1"/>
  <c r="N461" i="33" s="1"/>
  <c r="M461" i="33" s="1"/>
  <c r="J460" i="33"/>
  <c r="K460" i="33" s="1"/>
  <c r="N460" i="33" s="1"/>
  <c r="M460" i="33" s="1"/>
  <c r="J459" i="33"/>
  <c r="K459" i="33" s="1"/>
  <c r="N459" i="33" s="1"/>
  <c r="M459" i="33" s="1"/>
  <c r="J458" i="33"/>
  <c r="K458" i="33" s="1"/>
  <c r="N458" i="33" s="1"/>
  <c r="M458" i="33" s="1"/>
  <c r="J457" i="33"/>
  <c r="K457" i="33" s="1"/>
  <c r="N457" i="33" s="1"/>
  <c r="M457" i="33" s="1"/>
  <c r="J456" i="33"/>
  <c r="K456" i="33" s="1"/>
  <c r="N456" i="33" s="1"/>
  <c r="M456" i="33" s="1"/>
  <c r="J455" i="33"/>
  <c r="K455" i="33" s="1"/>
  <c r="N455" i="33" s="1"/>
  <c r="M455" i="33" s="1"/>
  <c r="J454" i="33"/>
  <c r="K454" i="33" s="1"/>
  <c r="N454" i="33" s="1"/>
  <c r="M454" i="33" s="1"/>
  <c r="J453" i="33"/>
  <c r="K453" i="33" s="1"/>
  <c r="N453" i="33" s="1"/>
  <c r="M453" i="33" s="1"/>
  <c r="J452" i="33"/>
  <c r="K452" i="33" s="1"/>
  <c r="N452" i="33" s="1"/>
  <c r="M452" i="33" s="1"/>
  <c r="J451" i="33"/>
  <c r="K451" i="33" s="1"/>
  <c r="N451" i="33" s="1"/>
  <c r="M451" i="33" s="1"/>
  <c r="J450" i="33"/>
  <c r="K450" i="33" s="1"/>
  <c r="N450" i="33" s="1"/>
  <c r="M450" i="33" s="1"/>
  <c r="J449" i="33"/>
  <c r="K449" i="33" s="1"/>
  <c r="N449" i="33" s="1"/>
  <c r="M449" i="33" s="1"/>
  <c r="J448" i="33"/>
  <c r="K448" i="33" s="1"/>
  <c r="N448" i="33" s="1"/>
  <c r="M448" i="33" s="1"/>
  <c r="J447" i="33"/>
  <c r="K447" i="33" s="1"/>
  <c r="N447" i="33" s="1"/>
  <c r="M447" i="33" s="1"/>
  <c r="J446" i="33"/>
  <c r="K446" i="33" s="1"/>
  <c r="N446" i="33" s="1"/>
  <c r="M446" i="33" s="1"/>
  <c r="J445" i="33"/>
  <c r="K445" i="33" s="1"/>
  <c r="N445" i="33" s="1"/>
  <c r="M445" i="33" s="1"/>
  <c r="J444" i="33"/>
  <c r="K444" i="33" s="1"/>
  <c r="N444" i="33" s="1"/>
  <c r="M444" i="33" s="1"/>
  <c r="J443" i="33"/>
  <c r="K443" i="33" s="1"/>
  <c r="N443" i="33" s="1"/>
  <c r="M443" i="33" s="1"/>
  <c r="J442" i="33"/>
  <c r="K442" i="33" s="1"/>
  <c r="N442" i="33" s="1"/>
  <c r="M442" i="33" s="1"/>
  <c r="J441" i="33"/>
  <c r="K441" i="33" s="1"/>
  <c r="N441" i="33" s="1"/>
  <c r="M441" i="33" s="1"/>
  <c r="J440" i="33"/>
  <c r="K440" i="33" s="1"/>
  <c r="N440" i="33" s="1"/>
  <c r="M440" i="33" s="1"/>
  <c r="J439" i="33"/>
  <c r="K439" i="33" s="1"/>
  <c r="N439" i="33" s="1"/>
  <c r="M439" i="33" s="1"/>
  <c r="J438" i="33"/>
  <c r="K438" i="33" s="1"/>
  <c r="N438" i="33" s="1"/>
  <c r="M438" i="33" s="1"/>
  <c r="J437" i="33"/>
  <c r="K437" i="33" s="1"/>
  <c r="N437" i="33" s="1"/>
  <c r="M437" i="33" s="1"/>
  <c r="J436" i="33"/>
  <c r="K436" i="33" s="1"/>
  <c r="N436" i="33" s="1"/>
  <c r="M436" i="33" s="1"/>
  <c r="J435" i="33"/>
  <c r="K435" i="33" s="1"/>
  <c r="N435" i="33" s="1"/>
  <c r="M435" i="33" s="1"/>
  <c r="J434" i="33"/>
  <c r="K434" i="33" s="1"/>
  <c r="N434" i="33" s="1"/>
  <c r="M434" i="33" s="1"/>
  <c r="J433" i="33"/>
  <c r="K433" i="33" s="1"/>
  <c r="N433" i="33" s="1"/>
  <c r="M433" i="33" s="1"/>
  <c r="J432" i="33"/>
  <c r="K432" i="33" s="1"/>
  <c r="N432" i="33" s="1"/>
  <c r="M432" i="33" s="1"/>
  <c r="J431" i="33"/>
  <c r="K431" i="33" s="1"/>
  <c r="N431" i="33" s="1"/>
  <c r="M431" i="33" s="1"/>
  <c r="J430" i="33"/>
  <c r="K430" i="33" s="1"/>
  <c r="N430" i="33" s="1"/>
  <c r="M430" i="33" s="1"/>
  <c r="J429" i="33"/>
  <c r="K429" i="33" s="1"/>
  <c r="N429" i="33" s="1"/>
  <c r="M429" i="33" s="1"/>
  <c r="J428" i="33"/>
  <c r="K428" i="33" s="1"/>
  <c r="N428" i="33" s="1"/>
  <c r="M428" i="33" s="1"/>
  <c r="J427" i="33"/>
  <c r="K427" i="33" s="1"/>
  <c r="N427" i="33" s="1"/>
  <c r="M427" i="33" s="1"/>
  <c r="J426" i="33"/>
  <c r="K426" i="33" s="1"/>
  <c r="N426" i="33" s="1"/>
  <c r="M426" i="33" s="1"/>
  <c r="J423" i="33"/>
  <c r="K423" i="33" s="1"/>
  <c r="N423" i="33" s="1"/>
  <c r="M423" i="33" s="1"/>
  <c r="J27" i="8"/>
  <c r="J422" i="33"/>
  <c r="K422" i="33" s="1"/>
  <c r="N422" i="33" s="1"/>
  <c r="M422" i="33" s="1"/>
  <c r="J26" i="8"/>
  <c r="J421" i="33"/>
  <c r="K421" i="33" s="1"/>
  <c r="N421" i="33" s="1"/>
  <c r="M421" i="33" s="1"/>
  <c r="J25" i="8"/>
  <c r="J420" i="33"/>
  <c r="K420" i="33" s="1"/>
  <c r="N420" i="33" s="1"/>
  <c r="M420" i="33" s="1"/>
  <c r="J24" i="8"/>
  <c r="J419" i="33"/>
  <c r="K419" i="33" s="1"/>
  <c r="N419" i="33" s="1"/>
  <c r="M419" i="33" s="1"/>
  <c r="J23" i="8"/>
  <c r="J418" i="33"/>
  <c r="K418" i="33" s="1"/>
  <c r="N418" i="33" s="1"/>
  <c r="M418" i="33" s="1"/>
  <c r="J34" i="8"/>
  <c r="J417" i="33"/>
  <c r="K417" i="33" s="1"/>
  <c r="N417" i="33" s="1"/>
  <c r="M417" i="33" s="1"/>
  <c r="J33" i="8"/>
  <c r="J416" i="33"/>
  <c r="K416" i="33" s="1"/>
  <c r="N416" i="33" s="1"/>
  <c r="M416" i="33" s="1"/>
  <c r="J32" i="8"/>
  <c r="J415" i="33"/>
  <c r="K415" i="33" s="1"/>
  <c r="N415" i="33" s="1"/>
  <c r="M415" i="33" s="1"/>
  <c r="J31" i="8"/>
  <c r="J414" i="33"/>
  <c r="K414" i="33" s="1"/>
  <c r="N414" i="33" s="1"/>
  <c r="M414" i="33" s="1"/>
  <c r="J30" i="8"/>
  <c r="J413" i="33"/>
  <c r="K413" i="33" s="1"/>
  <c r="N413" i="33" s="1"/>
  <c r="M413" i="33" s="1"/>
  <c r="J29" i="8"/>
  <c r="J411" i="33"/>
  <c r="K411" i="33" s="1"/>
  <c r="N411" i="33" s="1"/>
  <c r="M411" i="33" s="1"/>
  <c r="J410" i="33"/>
  <c r="K410" i="33" s="1"/>
  <c r="N410" i="33" s="1"/>
  <c r="M410" i="33" s="1"/>
  <c r="J408" i="33"/>
  <c r="K408" i="33" s="1"/>
  <c r="N408" i="33" s="1"/>
  <c r="M408" i="33" s="1"/>
  <c r="J407" i="33"/>
  <c r="J405" i="33"/>
  <c r="K405" i="33" s="1"/>
  <c r="N405" i="33" s="1"/>
  <c r="M405" i="33" s="1"/>
  <c r="J41" i="8"/>
  <c r="J404" i="33"/>
  <c r="K404" i="33" s="1"/>
  <c r="N404" i="33" s="1"/>
  <c r="M404" i="33" s="1"/>
  <c r="J40" i="8"/>
  <c r="J403" i="33"/>
  <c r="K403" i="33" s="1"/>
  <c r="N403" i="33" s="1"/>
  <c r="M403" i="33" s="1"/>
  <c r="J39" i="8"/>
  <c r="J402" i="33"/>
  <c r="K402" i="33" s="1"/>
  <c r="N402" i="33" s="1"/>
  <c r="M402" i="33" s="1"/>
  <c r="J38" i="8"/>
  <c r="J401" i="33"/>
  <c r="K401" i="33" s="1"/>
  <c r="N401" i="33" s="1"/>
  <c r="M401" i="33" s="1"/>
  <c r="J37" i="8"/>
  <c r="J400" i="33"/>
  <c r="K400" i="33" s="1"/>
  <c r="N400" i="33" s="1"/>
  <c r="M400" i="33" s="1"/>
  <c r="J36" i="8"/>
  <c r="J399" i="33"/>
  <c r="K399" i="33" s="1"/>
  <c r="N399" i="33" s="1"/>
  <c r="M399" i="33" s="1"/>
  <c r="J398" i="33"/>
  <c r="K398" i="33" s="1"/>
  <c r="N398" i="33" s="1"/>
  <c r="M398" i="33" s="1"/>
  <c r="J397" i="33"/>
  <c r="K397" i="33" s="1"/>
  <c r="N397" i="33" s="1"/>
  <c r="M397" i="33" s="1"/>
  <c r="J15" i="8"/>
  <c r="J396" i="33"/>
  <c r="K396" i="33" s="1"/>
  <c r="N396" i="33" s="1"/>
  <c r="M396" i="33" s="1"/>
  <c r="J14" i="8"/>
  <c r="J395" i="33"/>
  <c r="K395" i="33" s="1"/>
  <c r="N395" i="33" s="1"/>
  <c r="M395" i="33" s="1"/>
  <c r="J13" i="8"/>
  <c r="J394" i="33"/>
  <c r="K394" i="33" s="1"/>
  <c r="N394" i="33" s="1"/>
  <c r="M394" i="33" s="1"/>
  <c r="J16" i="8"/>
  <c r="J393" i="33"/>
  <c r="K393" i="33" s="1"/>
  <c r="N393" i="33" s="1"/>
  <c r="M393" i="33" s="1"/>
  <c r="J17" i="8"/>
  <c r="J392" i="33"/>
  <c r="K392" i="33" s="1"/>
  <c r="N392" i="33" s="1"/>
  <c r="M392" i="33" s="1"/>
  <c r="J18" i="8"/>
  <c r="J391" i="33"/>
  <c r="K391" i="33" s="1"/>
  <c r="N391" i="33" s="1"/>
  <c r="M391" i="33" s="1"/>
  <c r="J19" i="8"/>
  <c r="J390" i="33"/>
  <c r="K390" i="33" s="1"/>
  <c r="N390" i="33" s="1"/>
  <c r="M390" i="33" s="1"/>
  <c r="J20" i="8"/>
  <c r="J389" i="33"/>
  <c r="K389" i="33" s="1"/>
  <c r="N389" i="33" s="1"/>
  <c r="M389" i="33" s="1"/>
  <c r="J21" i="8"/>
  <c r="J388" i="33"/>
  <c r="K388" i="33" s="1"/>
  <c r="N388" i="33" s="1"/>
  <c r="M388" i="33" s="1"/>
  <c r="J387" i="33"/>
  <c r="K387" i="33" s="1"/>
  <c r="N387" i="33" s="1"/>
  <c r="M387" i="33" s="1"/>
  <c r="J59" i="8"/>
  <c r="J386" i="33"/>
  <c r="K386" i="33" s="1"/>
  <c r="N386" i="33" s="1"/>
  <c r="M386" i="33" s="1"/>
  <c r="J75" i="8"/>
  <c r="J385" i="33"/>
  <c r="K385" i="33" s="1"/>
  <c r="N385" i="33" s="1"/>
  <c r="M385" i="33" s="1"/>
  <c r="J74" i="8"/>
  <c r="J384" i="33"/>
  <c r="K384" i="33" s="1"/>
  <c r="N384" i="33" s="1"/>
  <c r="M384" i="33" s="1"/>
  <c r="J383" i="33"/>
  <c r="K383" i="33" s="1"/>
  <c r="N383" i="33" s="1"/>
  <c r="M383" i="33" s="1"/>
  <c r="J67" i="8"/>
  <c r="J382" i="33"/>
  <c r="K382" i="33" s="1"/>
  <c r="N382" i="33" s="1"/>
  <c r="M382" i="33" s="1"/>
  <c r="J66" i="8"/>
  <c r="J381" i="33"/>
  <c r="K381" i="33" s="1"/>
  <c r="N381" i="33" s="1"/>
  <c r="M381" i="33" s="1"/>
  <c r="J65" i="8"/>
  <c r="J380" i="33"/>
  <c r="K380" i="33" s="1"/>
  <c r="N380" i="33" s="1"/>
  <c r="M380" i="33" s="1"/>
  <c r="J64" i="8"/>
  <c r="J379" i="33"/>
  <c r="K379" i="33" s="1"/>
  <c r="N379" i="33" s="1"/>
  <c r="M379" i="33" s="1"/>
  <c r="J40" i="7"/>
  <c r="J378" i="33"/>
  <c r="K378" i="33" s="1"/>
  <c r="N378" i="33" s="1"/>
  <c r="M378" i="33" s="1"/>
  <c r="J39" i="7"/>
  <c r="J377" i="33"/>
  <c r="K377" i="33" s="1"/>
  <c r="N377" i="33" s="1"/>
  <c r="M377" i="33" s="1"/>
  <c r="J38" i="7"/>
  <c r="J376" i="33"/>
  <c r="K376" i="33" s="1"/>
  <c r="N376" i="33" s="1"/>
  <c r="M376" i="33" s="1"/>
  <c r="J37" i="7"/>
  <c r="J375" i="33"/>
  <c r="K375" i="33" s="1"/>
  <c r="N375" i="33" s="1"/>
  <c r="M375" i="33" s="1"/>
  <c r="J36" i="7"/>
  <c r="J374" i="33"/>
  <c r="K374" i="33" s="1"/>
  <c r="N374" i="33" s="1"/>
  <c r="M374" i="33" s="1"/>
  <c r="J35" i="7"/>
  <c r="J373" i="33"/>
  <c r="K373" i="33" s="1"/>
  <c r="N373" i="33" s="1"/>
  <c r="M373" i="33" s="1"/>
  <c r="J34" i="7"/>
  <c r="J372" i="33"/>
  <c r="K372" i="33" s="1"/>
  <c r="N372" i="33" s="1"/>
  <c r="M372" i="33" s="1"/>
  <c r="J33" i="7"/>
  <c r="J371" i="33"/>
  <c r="K371" i="33" s="1"/>
  <c r="N371" i="33" s="1"/>
  <c r="M371" i="33" s="1"/>
  <c r="J32" i="7"/>
  <c r="J370" i="33"/>
  <c r="K370" i="33" s="1"/>
  <c r="N370" i="33" s="1"/>
  <c r="M370" i="33" s="1"/>
  <c r="J31" i="7"/>
  <c r="J369" i="33"/>
  <c r="K369" i="33" s="1"/>
  <c r="N369" i="33" s="1"/>
  <c r="M369" i="33" s="1"/>
  <c r="J63" i="7"/>
  <c r="J368" i="33"/>
  <c r="K368" i="33" s="1"/>
  <c r="N368" i="33" s="1"/>
  <c r="M368" i="33" s="1"/>
  <c r="J62" i="7"/>
  <c r="J367" i="33"/>
  <c r="K367" i="33" s="1"/>
  <c r="N367" i="33" s="1"/>
  <c r="M367" i="33" s="1"/>
  <c r="J65" i="7"/>
  <c r="J366" i="33"/>
  <c r="K366" i="33" s="1"/>
  <c r="N366" i="33" s="1"/>
  <c r="M366" i="33" s="1"/>
  <c r="J64" i="7"/>
  <c r="J365" i="33"/>
  <c r="K365" i="33" s="1"/>
  <c r="N365" i="33" s="1"/>
  <c r="M365" i="33" s="1"/>
  <c r="J364" i="33"/>
  <c r="K364" i="33" s="1"/>
  <c r="N364" i="33" s="1"/>
  <c r="M364" i="33" s="1"/>
  <c r="J362" i="33"/>
  <c r="K362" i="33" s="1"/>
  <c r="N362" i="33" s="1"/>
  <c r="M362" i="33" s="1"/>
  <c r="J361" i="33"/>
  <c r="K361" i="33" s="1"/>
  <c r="N361" i="33" s="1"/>
  <c r="M361" i="33" s="1"/>
  <c r="J360" i="33"/>
  <c r="K360" i="33" s="1"/>
  <c r="N360" i="33" s="1"/>
  <c r="M360" i="33" s="1"/>
  <c r="J359" i="33"/>
  <c r="K359" i="33" s="1"/>
  <c r="N359" i="33" s="1"/>
  <c r="M359" i="33" s="1"/>
  <c r="J358" i="33"/>
  <c r="K358" i="33" s="1"/>
  <c r="N358" i="33" s="1"/>
  <c r="M358" i="33" s="1"/>
  <c r="J357" i="33"/>
  <c r="K357" i="33" s="1"/>
  <c r="N357" i="33" s="1"/>
  <c r="M357" i="33" s="1"/>
  <c r="J356" i="33"/>
  <c r="K356" i="33" s="1"/>
  <c r="N356" i="33" s="1"/>
  <c r="M356" i="33" s="1"/>
  <c r="J355" i="33"/>
  <c r="K355" i="33" s="1"/>
  <c r="N355" i="33" s="1"/>
  <c r="M355" i="33" s="1"/>
  <c r="J83" i="6"/>
  <c r="J354" i="33"/>
  <c r="K354" i="33" s="1"/>
  <c r="N354" i="33" s="1"/>
  <c r="M354" i="33" s="1"/>
  <c r="J82" i="6"/>
  <c r="J353" i="33"/>
  <c r="K353" i="33" s="1"/>
  <c r="N353" i="33" s="1"/>
  <c r="M353" i="33" s="1"/>
  <c r="J81" i="6"/>
  <c r="J352" i="33"/>
  <c r="K352" i="33" s="1"/>
  <c r="N352" i="33" s="1"/>
  <c r="M352" i="33" s="1"/>
  <c r="J80" i="6"/>
  <c r="J351" i="33"/>
  <c r="K351" i="33" s="1"/>
  <c r="N351" i="33" s="1"/>
  <c r="M351" i="33" s="1"/>
  <c r="J74" i="6"/>
  <c r="J350" i="33"/>
  <c r="K350" i="33" s="1"/>
  <c r="N350" i="33" s="1"/>
  <c r="M350" i="33" s="1"/>
  <c r="J73" i="6"/>
  <c r="J349" i="33"/>
  <c r="K349" i="33" s="1"/>
  <c r="N349" i="33" s="1"/>
  <c r="M349" i="33" s="1"/>
  <c r="J72" i="6"/>
  <c r="J348" i="33"/>
  <c r="K348" i="33" s="1"/>
  <c r="N348" i="33" s="1"/>
  <c r="M348" i="33" s="1"/>
  <c r="J71" i="6"/>
  <c r="J347" i="33"/>
  <c r="K347" i="33" s="1"/>
  <c r="N347" i="33" s="1"/>
  <c r="M347" i="33" s="1"/>
  <c r="J65" i="6"/>
  <c r="J346" i="33"/>
  <c r="K346" i="33" s="1"/>
  <c r="N346" i="33" s="1"/>
  <c r="M346" i="33" s="1"/>
  <c r="J64" i="6"/>
  <c r="J345" i="33"/>
  <c r="K345" i="33" s="1"/>
  <c r="N345" i="33" s="1"/>
  <c r="M345" i="33" s="1"/>
  <c r="J62" i="6"/>
  <c r="J343" i="33"/>
  <c r="K343" i="33" s="1"/>
  <c r="N343" i="33" s="1"/>
  <c r="M343" i="33" s="1"/>
  <c r="J342" i="33"/>
  <c r="K342" i="33" s="1"/>
  <c r="N342" i="33" s="1"/>
  <c r="M342" i="33" s="1"/>
  <c r="J340" i="33"/>
  <c r="K340" i="33" s="1"/>
  <c r="N340" i="33" s="1"/>
  <c r="M340" i="33" s="1"/>
  <c r="J339" i="33"/>
  <c r="K339" i="33" s="1"/>
  <c r="N339" i="33" s="1"/>
  <c r="M339" i="33" s="1"/>
  <c r="J338" i="33"/>
  <c r="K338" i="33" s="1"/>
  <c r="N338" i="33" s="1"/>
  <c r="M338" i="33" s="1"/>
  <c r="N337" i="33"/>
  <c r="M337" i="33" s="1"/>
  <c r="N336" i="33"/>
  <c r="M336" i="33" s="1"/>
  <c r="J47" i="8"/>
  <c r="N335" i="33"/>
  <c r="M335" i="33" s="1"/>
  <c r="J46" i="8"/>
  <c r="N334" i="33"/>
  <c r="M334" i="33" s="1"/>
  <c r="J45" i="8"/>
  <c r="N333" i="33"/>
  <c r="M333" i="33" s="1"/>
  <c r="J325" i="33"/>
  <c r="K325" i="33" s="1"/>
  <c r="N325" i="33" s="1"/>
  <c r="M325" i="33" s="1"/>
  <c r="J324" i="33"/>
  <c r="K324" i="33" s="1"/>
  <c r="N324" i="33" s="1"/>
  <c r="M324" i="33" s="1"/>
  <c r="J323" i="33"/>
  <c r="K323" i="33" s="1"/>
  <c r="N323" i="33" s="1"/>
  <c r="M323" i="33" s="1"/>
  <c r="J322" i="33"/>
  <c r="K322" i="33" s="1"/>
  <c r="N322" i="33" s="1"/>
  <c r="M322" i="33" s="1"/>
  <c r="J321" i="33"/>
  <c r="K321" i="33" s="1"/>
  <c r="N321" i="33" s="1"/>
  <c r="M321" i="33" s="1"/>
  <c r="J320" i="33"/>
  <c r="K320" i="33" s="1"/>
  <c r="N320" i="33" s="1"/>
  <c r="M320" i="33" s="1"/>
  <c r="J319" i="33"/>
  <c r="K319" i="33" s="1"/>
  <c r="N319" i="33" s="1"/>
  <c r="M319" i="33" s="1"/>
  <c r="J318" i="33"/>
  <c r="K318" i="33" s="1"/>
  <c r="N318" i="33" s="1"/>
  <c r="M318" i="33" s="1"/>
  <c r="J317" i="33"/>
  <c r="K317" i="33" s="1"/>
  <c r="N317" i="33" s="1"/>
  <c r="M317" i="33" s="1"/>
  <c r="J316" i="33"/>
  <c r="K316" i="33" s="1"/>
  <c r="N316" i="33" s="1"/>
  <c r="M316" i="33" s="1"/>
  <c r="J315" i="33"/>
  <c r="K315" i="33" s="1"/>
  <c r="N315" i="33" s="1"/>
  <c r="M315" i="33" s="1"/>
  <c r="J314" i="33"/>
  <c r="K314" i="33" s="1"/>
  <c r="N314" i="33" s="1"/>
  <c r="M314" i="33" s="1"/>
  <c r="J313" i="33"/>
  <c r="K313" i="33" s="1"/>
  <c r="N313" i="33" s="1"/>
  <c r="M313" i="33" s="1"/>
  <c r="J312" i="33"/>
  <c r="K312" i="33" s="1"/>
  <c r="N312" i="33" s="1"/>
  <c r="M312" i="33" s="1"/>
  <c r="J311" i="33"/>
  <c r="K311" i="33" s="1"/>
  <c r="N311" i="33" s="1"/>
  <c r="M311" i="33" s="1"/>
  <c r="J310" i="33"/>
  <c r="K310" i="33" s="1"/>
  <c r="N310" i="33" s="1"/>
  <c r="M310" i="33" s="1"/>
  <c r="J309" i="33"/>
  <c r="K309" i="33" s="1"/>
  <c r="N309" i="33" s="1"/>
  <c r="M309" i="33" s="1"/>
  <c r="J308" i="33"/>
  <c r="K308" i="33" s="1"/>
  <c r="N308" i="33" s="1"/>
  <c r="M308" i="33" s="1"/>
  <c r="J307" i="33"/>
  <c r="K307" i="33" s="1"/>
  <c r="N307" i="33" s="1"/>
  <c r="M307" i="33" s="1"/>
  <c r="J306" i="33"/>
  <c r="K306" i="33" s="1"/>
  <c r="N306" i="33" s="1"/>
  <c r="M306" i="33" s="1"/>
  <c r="J305" i="33"/>
  <c r="K305" i="33" s="1"/>
  <c r="N305" i="33" s="1"/>
  <c r="M305" i="33" s="1"/>
  <c r="J304" i="33"/>
  <c r="K304" i="33" s="1"/>
  <c r="N304" i="33" s="1"/>
  <c r="M304" i="33" s="1"/>
  <c r="J303" i="33"/>
  <c r="K303" i="33" s="1"/>
  <c r="N303" i="33" s="1"/>
  <c r="M303" i="33" s="1"/>
  <c r="J302" i="33"/>
  <c r="K302" i="33" s="1"/>
  <c r="N302" i="33" s="1"/>
  <c r="M302" i="33" s="1"/>
  <c r="J301" i="33"/>
  <c r="K301" i="33" s="1"/>
  <c r="N301" i="33" s="1"/>
  <c r="M301" i="33" s="1"/>
  <c r="J300" i="33"/>
  <c r="K300" i="33" s="1"/>
  <c r="N300" i="33" s="1"/>
  <c r="M300" i="33" s="1"/>
  <c r="J299" i="33"/>
  <c r="K299" i="33" s="1"/>
  <c r="N299" i="33" s="1"/>
  <c r="M299" i="33" s="1"/>
  <c r="J298" i="33"/>
  <c r="K298" i="33" s="1"/>
  <c r="N298" i="33" s="1"/>
  <c r="M298" i="33" s="1"/>
  <c r="J297" i="33"/>
  <c r="K297" i="33" s="1"/>
  <c r="J295" i="33"/>
  <c r="K295" i="33" s="1"/>
  <c r="N295" i="33" s="1"/>
  <c r="M295" i="33" s="1"/>
  <c r="J63" i="6"/>
  <c r="J294" i="33"/>
  <c r="K294" i="33" s="1"/>
  <c r="N294" i="33" s="1"/>
  <c r="M294" i="33" s="1"/>
  <c r="J293" i="33"/>
  <c r="K293" i="33" s="1"/>
  <c r="N293" i="33" s="1"/>
  <c r="M293" i="33" s="1"/>
  <c r="J292" i="33"/>
  <c r="K292" i="33" s="1"/>
  <c r="N292" i="33" s="1"/>
  <c r="M292" i="33" s="1"/>
  <c r="J291" i="33"/>
  <c r="K291" i="33" s="1"/>
  <c r="N291" i="33" s="1"/>
  <c r="M291" i="33" s="1"/>
  <c r="J290" i="33"/>
  <c r="K290" i="33" s="1"/>
  <c r="N290" i="33" s="1"/>
  <c r="M290" i="33" s="1"/>
  <c r="J289" i="33"/>
  <c r="K289" i="33" s="1"/>
  <c r="N289" i="33" s="1"/>
  <c r="M289" i="33" s="1"/>
  <c r="J27" i="6"/>
  <c r="J288" i="33"/>
  <c r="K288" i="33" s="1"/>
  <c r="N288" i="33" s="1"/>
  <c r="M288" i="33" s="1"/>
  <c r="J26" i="6"/>
  <c r="J287" i="33"/>
  <c r="K287" i="33" s="1"/>
  <c r="N287" i="33" s="1"/>
  <c r="M287" i="33" s="1"/>
  <c r="J28" i="6"/>
  <c r="J286" i="33"/>
  <c r="K286" i="33" s="1"/>
  <c r="N286" i="33" s="1"/>
  <c r="M286" i="33" s="1"/>
  <c r="J285" i="33"/>
  <c r="K285" i="33" s="1"/>
  <c r="N285" i="33" s="1"/>
  <c r="M285" i="33" s="1"/>
  <c r="J284" i="33"/>
  <c r="K284" i="33" s="1"/>
  <c r="N284" i="33" s="1"/>
  <c r="M284" i="33" s="1"/>
  <c r="J283" i="33"/>
  <c r="K283" i="33" s="1"/>
  <c r="N283" i="33" s="1"/>
  <c r="M283" i="33" s="1"/>
  <c r="J282" i="33"/>
  <c r="K282" i="33" s="1"/>
  <c r="N282" i="33" s="1"/>
  <c r="M282" i="33" s="1"/>
  <c r="J281" i="33"/>
  <c r="K281" i="33" s="1"/>
  <c r="N281" i="33" s="1"/>
  <c r="M281" i="33" s="1"/>
  <c r="J280" i="33"/>
  <c r="K280" i="33" s="1"/>
  <c r="N280" i="33" s="1"/>
  <c r="M280" i="33" s="1"/>
  <c r="J279" i="33"/>
  <c r="K279" i="33" s="1"/>
  <c r="N279" i="33" s="1"/>
  <c r="M279" i="33" s="1"/>
  <c r="J278" i="33"/>
  <c r="K278" i="33" s="1"/>
  <c r="N278" i="33" s="1"/>
  <c r="M278" i="33" s="1"/>
  <c r="J277" i="33"/>
  <c r="K277" i="33" s="1"/>
  <c r="N277" i="33" s="1"/>
  <c r="M277" i="33" s="1"/>
  <c r="J55" i="6"/>
  <c r="J276" i="33"/>
  <c r="K276" i="33" s="1"/>
  <c r="N276" i="33" s="1"/>
  <c r="M276" i="33" s="1"/>
  <c r="J56" i="6"/>
  <c r="J275" i="33"/>
  <c r="K275" i="33" s="1"/>
  <c r="N275" i="33" s="1"/>
  <c r="M275" i="33" s="1"/>
  <c r="J274" i="33"/>
  <c r="K274" i="33" s="1"/>
  <c r="N274" i="33" s="1"/>
  <c r="M274" i="33" s="1"/>
  <c r="J34" i="6"/>
  <c r="J273" i="33"/>
  <c r="K273" i="33" s="1"/>
  <c r="N273" i="33" s="1"/>
  <c r="M273" i="33" s="1"/>
  <c r="J33" i="6"/>
  <c r="J272" i="33"/>
  <c r="K272" i="33" s="1"/>
  <c r="N272" i="33" s="1"/>
  <c r="M272" i="33" s="1"/>
  <c r="J35" i="6"/>
  <c r="J270" i="33"/>
  <c r="K270" i="33" s="1"/>
  <c r="N270" i="33" s="1"/>
  <c r="M270" i="33" s="1"/>
  <c r="J4" i="20"/>
  <c r="J269" i="33"/>
  <c r="K269" i="33" s="1"/>
  <c r="N269" i="33" s="1"/>
  <c r="M269" i="33" s="1"/>
  <c r="J6" i="20"/>
  <c r="J268" i="33"/>
  <c r="K268" i="33" s="1"/>
  <c r="N268" i="33" s="1"/>
  <c r="M268" i="33" s="1"/>
  <c r="J5" i="20"/>
  <c r="J267" i="33"/>
  <c r="K267" i="33" s="1"/>
  <c r="N267" i="33" s="1"/>
  <c r="M267" i="33" s="1"/>
  <c r="J266" i="33"/>
  <c r="K266" i="33" s="1"/>
  <c r="N266" i="33" s="1"/>
  <c r="M266" i="33" s="1"/>
  <c r="J265" i="33"/>
  <c r="K265" i="33" s="1"/>
  <c r="N265" i="33" s="1"/>
  <c r="M265" i="33" s="1"/>
  <c r="J264" i="33"/>
  <c r="K264" i="33" s="1"/>
  <c r="N264" i="33" s="1"/>
  <c r="M264" i="33" s="1"/>
  <c r="J262" i="33"/>
  <c r="K262" i="33" s="1"/>
  <c r="N262" i="33" s="1"/>
  <c r="M262" i="33" s="1"/>
  <c r="J63" i="16"/>
  <c r="J260" i="33"/>
  <c r="K260" i="33" s="1"/>
  <c r="N260" i="33" s="1"/>
  <c r="M260" i="33" s="1"/>
  <c r="J56" i="16"/>
  <c r="J259" i="33"/>
  <c r="K259" i="33" s="1"/>
  <c r="N259" i="33" s="1"/>
  <c r="M259" i="33" s="1"/>
  <c r="J55" i="16"/>
  <c r="J257" i="33"/>
  <c r="K257" i="33" s="1"/>
  <c r="N257" i="33" s="1"/>
  <c r="M257" i="33" s="1"/>
  <c r="J54" i="16"/>
  <c r="J256" i="33"/>
  <c r="K256" i="33" s="1"/>
  <c r="N256" i="33" s="1"/>
  <c r="M256" i="33" s="1"/>
  <c r="J53" i="16"/>
  <c r="J255" i="33"/>
  <c r="K255" i="33" s="1"/>
  <c r="N255" i="33" s="1"/>
  <c r="M255" i="33" s="1"/>
  <c r="J59" i="16"/>
  <c r="J254" i="33"/>
  <c r="K254" i="33" s="1"/>
  <c r="N254" i="33" s="1"/>
  <c r="M254" i="33" s="1"/>
  <c r="J58" i="16"/>
  <c r="J253" i="33"/>
  <c r="K253" i="33" s="1"/>
  <c r="N253" i="33" s="1"/>
  <c r="M253" i="33" s="1"/>
  <c r="J52" i="16"/>
  <c r="J252" i="33"/>
  <c r="K252" i="33" s="1"/>
  <c r="N252" i="33" s="1"/>
  <c r="M252" i="33" s="1"/>
  <c r="J51" i="16"/>
  <c r="J250" i="33"/>
  <c r="K250" i="33" s="1"/>
  <c r="N250" i="33" s="1"/>
  <c r="M250" i="33" s="1"/>
  <c r="J248" i="33"/>
  <c r="K248" i="33" s="1"/>
  <c r="N248" i="33" s="1"/>
  <c r="M248" i="33" s="1"/>
  <c r="J28" i="7"/>
  <c r="J247" i="33"/>
  <c r="K247" i="33" s="1"/>
  <c r="N247" i="33" s="1"/>
  <c r="M247" i="33" s="1"/>
  <c r="J27" i="7"/>
  <c r="J245" i="33"/>
  <c r="K245" i="33" s="1"/>
  <c r="N245" i="33" s="1"/>
  <c r="M245" i="33" s="1"/>
  <c r="J58" i="7"/>
  <c r="J244" i="33"/>
  <c r="K244" i="33" s="1"/>
  <c r="N244" i="33" s="1"/>
  <c r="M244" i="33" s="1"/>
  <c r="J57" i="7"/>
  <c r="J243" i="33"/>
  <c r="K243" i="33" s="1"/>
  <c r="N243" i="33" s="1"/>
  <c r="M243" i="33" s="1"/>
  <c r="J242" i="33"/>
  <c r="K242" i="33" s="1"/>
  <c r="N242" i="33" s="1"/>
  <c r="M242" i="33" s="1"/>
  <c r="J241" i="33"/>
  <c r="K241" i="33" s="1"/>
  <c r="N241" i="33" s="1"/>
  <c r="M241" i="33" s="1"/>
  <c r="J76" i="7"/>
  <c r="J240" i="33"/>
  <c r="K240" i="33" s="1"/>
  <c r="N240" i="33" s="1"/>
  <c r="M240" i="33" s="1"/>
  <c r="J75" i="7"/>
  <c r="J239" i="33"/>
  <c r="K239" i="33" s="1"/>
  <c r="N239" i="33" s="1"/>
  <c r="M239" i="33" s="1"/>
  <c r="J238" i="33"/>
  <c r="K238" i="33" s="1"/>
  <c r="N238" i="33" s="1"/>
  <c r="M238" i="33" s="1"/>
  <c r="J45" i="7"/>
  <c r="J237" i="33"/>
  <c r="K237" i="33" s="1"/>
  <c r="N237" i="33" s="1"/>
  <c r="M237" i="33" s="1"/>
  <c r="J44" i="7"/>
  <c r="J235" i="33"/>
  <c r="K235" i="33" s="1"/>
  <c r="N235" i="33" s="1"/>
  <c r="M235" i="33" s="1"/>
  <c r="J56" i="7"/>
  <c r="J234" i="33"/>
  <c r="K234" i="33" s="1"/>
  <c r="N234" i="33" s="1"/>
  <c r="M234" i="33" s="1"/>
  <c r="J55" i="7"/>
  <c r="J232" i="33"/>
  <c r="K232" i="33" s="1"/>
  <c r="N232" i="33" s="1"/>
  <c r="M232" i="33" s="1"/>
  <c r="J48" i="7"/>
  <c r="J231" i="33"/>
  <c r="K231" i="33" s="1"/>
  <c r="N231" i="33" s="1"/>
  <c r="M231" i="33" s="1"/>
  <c r="J49" i="7"/>
  <c r="J230" i="33"/>
  <c r="K230" i="33" s="1"/>
  <c r="N230" i="33" s="1"/>
  <c r="M230" i="33" s="1"/>
  <c r="J43" i="7"/>
  <c r="J229" i="33"/>
  <c r="K229" i="33" s="1"/>
  <c r="N229" i="33" s="1"/>
  <c r="M229" i="33" s="1"/>
  <c r="J42" i="7"/>
  <c r="J228" i="33"/>
  <c r="K228" i="33" s="1"/>
  <c r="N228" i="33" s="1"/>
  <c r="M228" i="33" s="1"/>
  <c r="J24" i="7"/>
  <c r="J227" i="33"/>
  <c r="K227" i="33" s="1"/>
  <c r="N227" i="33" s="1"/>
  <c r="M227" i="33" s="1"/>
  <c r="J23" i="7"/>
  <c r="J226" i="33"/>
  <c r="K226" i="33" s="1"/>
  <c r="N226" i="33" s="1"/>
  <c r="M226" i="33" s="1"/>
  <c r="J21" i="7"/>
  <c r="J225" i="33"/>
  <c r="K225" i="33" s="1"/>
  <c r="N225" i="33" s="1"/>
  <c r="M225" i="33" s="1"/>
  <c r="J19" i="7"/>
  <c r="J224" i="33"/>
  <c r="K224" i="33" s="1"/>
  <c r="N224" i="33" s="1"/>
  <c r="M224" i="33" s="1"/>
  <c r="J18" i="7"/>
  <c r="J223" i="33"/>
  <c r="K223" i="33" s="1"/>
  <c r="N223" i="33" s="1"/>
  <c r="M223" i="33" s="1"/>
  <c r="J16" i="7"/>
  <c r="J222" i="33"/>
  <c r="K222" i="33" s="1"/>
  <c r="N222" i="33" s="1"/>
  <c r="M222" i="33" s="1"/>
  <c r="J22" i="7"/>
  <c r="J221" i="33"/>
  <c r="K221" i="33" s="1"/>
  <c r="N221" i="33" s="1"/>
  <c r="M221" i="33" s="1"/>
  <c r="J17" i="7"/>
  <c r="J219" i="33"/>
  <c r="K219" i="33" s="1"/>
  <c r="N219" i="33" s="1"/>
  <c r="M219" i="33" s="1"/>
  <c r="J58" i="5"/>
  <c r="J218" i="33"/>
  <c r="K218" i="33" s="1"/>
  <c r="N218" i="33" s="1"/>
  <c r="M218" i="33" s="1"/>
  <c r="J57" i="5"/>
  <c r="J217" i="33"/>
  <c r="K217" i="33" s="1"/>
  <c r="N217" i="33" s="1"/>
  <c r="M217" i="33" s="1"/>
  <c r="J56" i="5"/>
  <c r="J216" i="33"/>
  <c r="K216" i="33" s="1"/>
  <c r="N216" i="33" s="1"/>
  <c r="M216" i="33" s="1"/>
  <c r="J54" i="5"/>
  <c r="J215" i="33"/>
  <c r="K215" i="33" s="1"/>
  <c r="N215" i="33" s="1"/>
  <c r="M215" i="33" s="1"/>
  <c r="J53" i="5"/>
  <c r="J214" i="33"/>
  <c r="K214" i="33" s="1"/>
  <c r="N214" i="33" s="1"/>
  <c r="M214" i="33" s="1"/>
  <c r="J52" i="5"/>
  <c r="J213" i="33"/>
  <c r="K213" i="33" s="1"/>
  <c r="N213" i="33" s="1"/>
  <c r="M213" i="33" s="1"/>
  <c r="J51" i="5"/>
  <c r="J211" i="33"/>
  <c r="K211" i="33" s="1"/>
  <c r="N211" i="33" s="1"/>
  <c r="M211" i="33" s="1"/>
  <c r="J46" i="17"/>
  <c r="J210" i="33"/>
  <c r="K210" i="33" s="1"/>
  <c r="N210" i="33" s="1"/>
  <c r="M210" i="33" s="1"/>
  <c r="J45" i="17"/>
  <c r="J209" i="33"/>
  <c r="K209" i="33" s="1"/>
  <c r="N209" i="33" s="1"/>
  <c r="M209" i="33" s="1"/>
  <c r="J40" i="17"/>
  <c r="J208" i="33"/>
  <c r="K208" i="33" s="1"/>
  <c r="N208" i="33" s="1"/>
  <c r="M208" i="33" s="1"/>
  <c r="J39" i="17"/>
  <c r="J207" i="33"/>
  <c r="K207" i="33" s="1"/>
  <c r="N207" i="33" s="1"/>
  <c r="M207" i="33" s="1"/>
  <c r="J38" i="17"/>
  <c r="J206" i="33"/>
  <c r="K206" i="33" s="1"/>
  <c r="N206" i="33" s="1"/>
  <c r="M206" i="33" s="1"/>
  <c r="J37" i="17"/>
  <c r="J204" i="33"/>
  <c r="K204" i="33" s="1"/>
  <c r="N204" i="33" s="1"/>
  <c r="M204" i="33" s="1"/>
  <c r="J61" i="17"/>
  <c r="J203" i="33"/>
  <c r="K203" i="33" s="1"/>
  <c r="N203" i="33" s="1"/>
  <c r="M203" i="33" s="1"/>
  <c r="J60" i="17"/>
  <c r="J202" i="33"/>
  <c r="K202" i="33" s="1"/>
  <c r="N202" i="33" s="1"/>
  <c r="M202" i="33" s="1"/>
  <c r="J58" i="17"/>
  <c r="J200" i="33"/>
  <c r="K200" i="33" s="1"/>
  <c r="N200" i="33" s="1"/>
  <c r="M200" i="33" s="1"/>
  <c r="J57" i="17"/>
  <c r="J199" i="33"/>
  <c r="K199" i="33" s="1"/>
  <c r="N199" i="33" s="1"/>
  <c r="M199" i="33" s="1"/>
  <c r="J56" i="17"/>
  <c r="J198" i="33"/>
  <c r="K198" i="33" s="1"/>
  <c r="N198" i="33" s="1"/>
  <c r="M198" i="33" s="1"/>
  <c r="J55" i="17"/>
  <c r="J197" i="33"/>
  <c r="K197" i="33" s="1"/>
  <c r="N197" i="33" s="1"/>
  <c r="M197" i="33" s="1"/>
  <c r="J54" i="17"/>
  <c r="J196" i="33"/>
  <c r="K196" i="33" s="1"/>
  <c r="N196" i="33" s="1"/>
  <c r="M196" i="33" s="1"/>
  <c r="J53" i="17"/>
  <c r="J195" i="33"/>
  <c r="K195" i="33" s="1"/>
  <c r="N195" i="33" s="1"/>
  <c r="M195" i="33" s="1"/>
  <c r="J52" i="17"/>
  <c r="J194" i="33"/>
  <c r="K194" i="33" s="1"/>
  <c r="N194" i="33" s="1"/>
  <c r="M194" i="33" s="1"/>
  <c r="J51" i="17"/>
  <c r="J193" i="33"/>
  <c r="K193" i="33" s="1"/>
  <c r="N193" i="33" s="1"/>
  <c r="M193" i="33" s="1"/>
  <c r="J25" i="17"/>
  <c r="J192" i="33"/>
  <c r="K192" i="33" s="1"/>
  <c r="N192" i="33" s="1"/>
  <c r="M192" i="33" s="1"/>
  <c r="J24" i="17"/>
  <c r="J191" i="33"/>
  <c r="K191" i="33" s="1"/>
  <c r="N191" i="33" s="1"/>
  <c r="M191" i="33" s="1"/>
  <c r="J23" i="17"/>
  <c r="J190" i="33"/>
  <c r="K190" i="33" s="1"/>
  <c r="N190" i="33" s="1"/>
  <c r="M190" i="33" s="1"/>
  <c r="J22" i="17"/>
  <c r="J189" i="33"/>
  <c r="K189" i="33" s="1"/>
  <c r="N189" i="33" s="1"/>
  <c r="M189" i="33" s="1"/>
  <c r="J19" i="17"/>
  <c r="J188" i="33"/>
  <c r="K188" i="33" s="1"/>
  <c r="N188" i="33" s="1"/>
  <c r="M188" i="33" s="1"/>
  <c r="J18" i="17"/>
  <c r="J187" i="33"/>
  <c r="K187" i="33" s="1"/>
  <c r="N187" i="33" s="1"/>
  <c r="M187" i="33" s="1"/>
  <c r="J17" i="17"/>
  <c r="J186" i="33"/>
  <c r="K186" i="33" s="1"/>
  <c r="N186" i="33" s="1"/>
  <c r="M186" i="33" s="1"/>
  <c r="J16" i="17"/>
  <c r="J185" i="33"/>
  <c r="K185" i="33" s="1"/>
  <c r="N185" i="33" s="1"/>
  <c r="M185" i="33" s="1"/>
  <c r="J15" i="17"/>
  <c r="J184" i="33"/>
  <c r="K184" i="33" s="1"/>
  <c r="N184" i="33" s="1"/>
  <c r="M184" i="33" s="1"/>
  <c r="J14" i="17"/>
  <c r="J183" i="33"/>
  <c r="K183" i="33" s="1"/>
  <c r="N183" i="33" s="1"/>
  <c r="M183" i="33" s="1"/>
  <c r="J13" i="17"/>
  <c r="J182" i="33"/>
  <c r="K182" i="33" s="1"/>
  <c r="N182" i="33" s="1"/>
  <c r="M182" i="33" s="1"/>
  <c r="J12" i="17"/>
  <c r="J180" i="33"/>
  <c r="K180" i="33" s="1"/>
  <c r="N180" i="33" s="1"/>
  <c r="M180" i="33" s="1"/>
  <c r="J41" i="16"/>
  <c r="J179" i="33"/>
  <c r="K179" i="33" s="1"/>
  <c r="N179" i="33" s="1"/>
  <c r="M179" i="33" s="1"/>
  <c r="J178" i="33"/>
  <c r="K178" i="33" s="1"/>
  <c r="N178" i="33" s="1"/>
  <c r="M178" i="33" s="1"/>
  <c r="J21" i="16"/>
  <c r="J177" i="33"/>
  <c r="K177" i="33" s="1"/>
  <c r="N177" i="33" s="1"/>
  <c r="M177" i="33" s="1"/>
  <c r="J40" i="16"/>
  <c r="J176" i="33"/>
  <c r="K176" i="33" s="1"/>
  <c r="N176" i="33" s="1"/>
  <c r="M176" i="33" s="1"/>
  <c r="J175" i="33"/>
  <c r="K175" i="33" s="1"/>
  <c r="N175" i="33" s="1"/>
  <c r="M175" i="33" s="1"/>
  <c r="J20" i="16"/>
  <c r="J174" i="33"/>
  <c r="K174" i="33" s="1"/>
  <c r="N174" i="33" s="1"/>
  <c r="M174" i="33" s="1"/>
  <c r="J39" i="16"/>
  <c r="J173" i="33"/>
  <c r="K173" i="33" s="1"/>
  <c r="N173" i="33" s="1"/>
  <c r="M173" i="33" s="1"/>
  <c r="J172" i="33"/>
  <c r="K172" i="33" s="1"/>
  <c r="N172" i="33" s="1"/>
  <c r="M172" i="33" s="1"/>
  <c r="J19" i="16"/>
  <c r="J171" i="33"/>
  <c r="K171" i="33" s="1"/>
  <c r="N171" i="33" s="1"/>
  <c r="M171" i="33" s="1"/>
  <c r="J38" i="16"/>
  <c r="J170" i="33"/>
  <c r="K170" i="33" s="1"/>
  <c r="N170" i="33" s="1"/>
  <c r="M170" i="33" s="1"/>
  <c r="J169" i="33"/>
  <c r="K169" i="33" s="1"/>
  <c r="N169" i="33" s="1"/>
  <c r="M169" i="33" s="1"/>
  <c r="J18" i="16"/>
  <c r="J168" i="33"/>
  <c r="K168" i="33" s="1"/>
  <c r="N168" i="33" s="1"/>
  <c r="M168" i="33" s="1"/>
  <c r="J37" i="16"/>
  <c r="J167" i="33"/>
  <c r="K167" i="33" s="1"/>
  <c r="N167" i="33" s="1"/>
  <c r="M167" i="33" s="1"/>
  <c r="J166" i="33"/>
  <c r="K166" i="33" s="1"/>
  <c r="N166" i="33" s="1"/>
  <c r="M166" i="33" s="1"/>
  <c r="J17" i="16"/>
  <c r="J165" i="33"/>
  <c r="K165" i="33" s="1"/>
  <c r="N165" i="33" s="1"/>
  <c r="M165" i="33" s="1"/>
  <c r="J36" i="16"/>
  <c r="J164" i="33"/>
  <c r="K164" i="33" s="1"/>
  <c r="N164" i="33" s="1"/>
  <c r="M164" i="33" s="1"/>
  <c r="J163" i="33"/>
  <c r="K163" i="33" s="1"/>
  <c r="N163" i="33" s="1"/>
  <c r="M163" i="33" s="1"/>
  <c r="J16" i="16"/>
  <c r="J162" i="33"/>
  <c r="K162" i="33" s="1"/>
  <c r="N162" i="33" s="1"/>
  <c r="M162" i="33" s="1"/>
  <c r="J35" i="16"/>
  <c r="J161" i="33"/>
  <c r="K161" i="33" s="1"/>
  <c r="N161" i="33" s="1"/>
  <c r="M161" i="33" s="1"/>
  <c r="J160" i="33"/>
  <c r="K160" i="33" s="1"/>
  <c r="N160" i="33" s="1"/>
  <c r="M160" i="33" s="1"/>
  <c r="J15" i="16"/>
  <c r="J159" i="33"/>
  <c r="K159" i="33" s="1"/>
  <c r="N159" i="33" s="1"/>
  <c r="M159" i="33" s="1"/>
  <c r="J34" i="16"/>
  <c r="J158" i="33"/>
  <c r="K158" i="33" s="1"/>
  <c r="N158" i="33" s="1"/>
  <c r="M158" i="33" s="1"/>
  <c r="J157" i="33"/>
  <c r="K157" i="33" s="1"/>
  <c r="N157" i="33" s="1"/>
  <c r="M157" i="33" s="1"/>
  <c r="J14" i="16"/>
  <c r="J154" i="33"/>
  <c r="K154" i="33" s="1"/>
  <c r="N154" i="33" s="1"/>
  <c r="M154" i="33" s="1"/>
  <c r="J32" i="16"/>
  <c r="J153" i="33"/>
  <c r="K153" i="33" s="1"/>
  <c r="N153" i="33" s="1"/>
  <c r="M153" i="33" s="1"/>
  <c r="J31" i="16"/>
  <c r="J152" i="33"/>
  <c r="K152" i="33" s="1"/>
  <c r="N152" i="33" s="1"/>
  <c r="M152" i="33" s="1"/>
  <c r="J30" i="16"/>
  <c r="J151" i="33"/>
  <c r="K151" i="33" s="1"/>
  <c r="N151" i="33" s="1"/>
  <c r="M151" i="33" s="1"/>
  <c r="J29" i="16"/>
  <c r="J150" i="33"/>
  <c r="K150" i="33" s="1"/>
  <c r="N150" i="33" s="1"/>
  <c r="M150" i="33" s="1"/>
  <c r="J28" i="16"/>
  <c r="J149" i="33"/>
  <c r="K149" i="33" s="1"/>
  <c r="N149" i="33" s="1"/>
  <c r="M149" i="33" s="1"/>
  <c r="J27" i="16"/>
  <c r="J148" i="33"/>
  <c r="K148" i="33" s="1"/>
  <c r="N148" i="33" s="1"/>
  <c r="M148" i="33" s="1"/>
  <c r="J26" i="16"/>
  <c r="J147" i="33"/>
  <c r="K147" i="33" s="1"/>
  <c r="N147" i="33" s="1"/>
  <c r="M147" i="33" s="1"/>
  <c r="J25" i="16"/>
  <c r="J146" i="33"/>
  <c r="K146" i="33" s="1"/>
  <c r="N146" i="33" s="1"/>
  <c r="M146" i="33" s="1"/>
  <c r="J24" i="16"/>
  <c r="J145" i="33"/>
  <c r="K145" i="33" s="1"/>
  <c r="N145" i="33" s="1"/>
  <c r="M145" i="33" s="1"/>
  <c r="J12" i="16"/>
  <c r="J144" i="33"/>
  <c r="K144" i="33" s="1"/>
  <c r="N144" i="33" s="1"/>
  <c r="M144" i="33" s="1"/>
  <c r="J11" i="16"/>
  <c r="J143" i="33"/>
  <c r="K143" i="33" s="1"/>
  <c r="N143" i="33" s="1"/>
  <c r="M143" i="33" s="1"/>
  <c r="J10" i="16"/>
  <c r="J142" i="33"/>
  <c r="K142" i="33" s="1"/>
  <c r="N142" i="33" s="1"/>
  <c r="M142" i="33" s="1"/>
  <c r="J9" i="16"/>
  <c r="J141" i="33"/>
  <c r="K141" i="33" s="1"/>
  <c r="N141" i="33" s="1"/>
  <c r="M141" i="33" s="1"/>
  <c r="J8" i="16"/>
  <c r="J140" i="33"/>
  <c r="K140" i="33" s="1"/>
  <c r="N140" i="33" s="1"/>
  <c r="M140" i="33" s="1"/>
  <c r="J7" i="16"/>
  <c r="J139" i="33"/>
  <c r="K139" i="33" s="1"/>
  <c r="N139" i="33" s="1"/>
  <c r="M139" i="33" s="1"/>
  <c r="J6" i="16"/>
  <c r="J138" i="33"/>
  <c r="K138" i="33" s="1"/>
  <c r="N138" i="33" s="1"/>
  <c r="M138" i="33" s="1"/>
  <c r="J5" i="16"/>
  <c r="J137" i="33"/>
  <c r="K137" i="33" s="1"/>
  <c r="N137" i="33" s="1"/>
  <c r="M137" i="33" s="1"/>
  <c r="J4" i="16"/>
  <c r="J136" i="33"/>
  <c r="K136" i="33" s="1"/>
  <c r="N136" i="33" s="1"/>
  <c r="M136" i="33" s="1"/>
  <c r="J48" i="15"/>
  <c r="J135" i="33"/>
  <c r="K135" i="33" s="1"/>
  <c r="N135" i="33" s="1"/>
  <c r="M135" i="33" s="1"/>
  <c r="J47" i="15"/>
  <c r="J133" i="33"/>
  <c r="K133" i="33" s="1"/>
  <c r="N133" i="33" s="1"/>
  <c r="M133" i="33" s="1"/>
  <c r="J46" i="15"/>
  <c r="J132" i="33"/>
  <c r="K132" i="33" s="1"/>
  <c r="N132" i="33" s="1"/>
  <c r="M132" i="33" s="1"/>
  <c r="J45" i="15"/>
  <c r="J131" i="33"/>
  <c r="K131" i="33" s="1"/>
  <c r="N131" i="33" s="1"/>
  <c r="M131" i="33" s="1"/>
  <c r="J44" i="15"/>
  <c r="J130" i="33"/>
  <c r="K130" i="33" s="1"/>
  <c r="N130" i="33" s="1"/>
  <c r="M130" i="33" s="1"/>
  <c r="J42" i="15"/>
  <c r="J129" i="33"/>
  <c r="K129" i="33" s="1"/>
  <c r="N129" i="33" s="1"/>
  <c r="M129" i="33" s="1"/>
  <c r="J41" i="15"/>
  <c r="J128" i="33"/>
  <c r="K128" i="33" s="1"/>
  <c r="N128" i="33" s="1"/>
  <c r="M128" i="33" s="1"/>
  <c r="J40" i="15"/>
  <c r="J127" i="33"/>
  <c r="K127" i="33" s="1"/>
  <c r="N127" i="33" s="1"/>
  <c r="M127" i="33" s="1"/>
  <c r="J39" i="15"/>
  <c r="J126" i="33"/>
  <c r="K126" i="33" s="1"/>
  <c r="N126" i="33" s="1"/>
  <c r="M126" i="33" s="1"/>
  <c r="J38" i="15"/>
  <c r="J125" i="33"/>
  <c r="K125" i="33" s="1"/>
  <c r="N125" i="33" s="1"/>
  <c r="M125" i="33" s="1"/>
  <c r="J37" i="15"/>
  <c r="J123" i="33"/>
  <c r="K123" i="33" s="1"/>
  <c r="N123" i="33" s="1"/>
  <c r="M123" i="33" s="1"/>
  <c r="J32" i="15"/>
  <c r="J122" i="33"/>
  <c r="K122" i="33" s="1"/>
  <c r="N122" i="33" s="1"/>
  <c r="M122" i="33" s="1"/>
  <c r="J31" i="15"/>
  <c r="J121" i="33"/>
  <c r="K121" i="33" s="1"/>
  <c r="N121" i="33" s="1"/>
  <c r="M121" i="33" s="1"/>
  <c r="J30" i="15"/>
  <c r="J120" i="33"/>
  <c r="K120" i="33" s="1"/>
  <c r="N120" i="33" s="1"/>
  <c r="M120" i="33" s="1"/>
  <c r="J29" i="15"/>
  <c r="J119" i="33"/>
  <c r="K119" i="33" s="1"/>
  <c r="N119" i="33" s="1"/>
  <c r="M119" i="33" s="1"/>
  <c r="J28" i="15"/>
  <c r="J118" i="33"/>
  <c r="K118" i="33" s="1"/>
  <c r="N118" i="33" s="1"/>
  <c r="M118" i="33" s="1"/>
  <c r="J26" i="15"/>
  <c r="J117" i="33"/>
  <c r="K117" i="33" s="1"/>
  <c r="N117" i="33" s="1"/>
  <c r="M117" i="33" s="1"/>
  <c r="J25" i="15"/>
  <c r="J116" i="33"/>
  <c r="K116" i="33" s="1"/>
  <c r="N116" i="33" s="1"/>
  <c r="M116" i="33" s="1"/>
  <c r="J24" i="15"/>
  <c r="J115" i="33"/>
  <c r="K115" i="33" s="1"/>
  <c r="N115" i="33" s="1"/>
  <c r="M115" i="33" s="1"/>
  <c r="J23" i="15"/>
  <c r="J114" i="33"/>
  <c r="K114" i="33" s="1"/>
  <c r="N114" i="33" s="1"/>
  <c r="M114" i="33" s="1"/>
  <c r="J22" i="15"/>
  <c r="J113" i="33"/>
  <c r="K113" i="33" s="1"/>
  <c r="N113" i="33" s="1"/>
  <c r="M113" i="33" s="1"/>
  <c r="J20" i="15"/>
  <c r="J112" i="33"/>
  <c r="K112" i="33" s="1"/>
  <c r="N112" i="33" s="1"/>
  <c r="M112" i="33" s="1"/>
  <c r="J19" i="15"/>
  <c r="J111" i="33"/>
  <c r="K111" i="33" s="1"/>
  <c r="N111" i="33" s="1"/>
  <c r="M111" i="33" s="1"/>
  <c r="J18" i="15"/>
  <c r="J110" i="33"/>
  <c r="K110" i="33" s="1"/>
  <c r="N110" i="33" s="1"/>
  <c r="M110" i="33" s="1"/>
  <c r="J17" i="15"/>
  <c r="J109" i="33"/>
  <c r="K109" i="33" s="1"/>
  <c r="N109" i="33" s="1"/>
  <c r="M109" i="33" s="1"/>
  <c r="J16" i="15"/>
  <c r="J108" i="33"/>
  <c r="K108" i="33" s="1"/>
  <c r="N108" i="33" s="1"/>
  <c r="M108" i="33" s="1"/>
  <c r="J15" i="15"/>
  <c r="J107" i="33"/>
  <c r="K107" i="33" s="1"/>
  <c r="N107" i="33" s="1"/>
  <c r="M107" i="33" s="1"/>
  <c r="J49" i="5"/>
  <c r="J106" i="33"/>
  <c r="K106" i="33" s="1"/>
  <c r="N106" i="33" s="1"/>
  <c r="M106" i="33" s="1"/>
  <c r="J48" i="5"/>
  <c r="J105" i="33"/>
  <c r="K105" i="33" s="1"/>
  <c r="N105" i="33" s="1"/>
  <c r="M105" i="33" s="1"/>
  <c r="J47" i="5"/>
  <c r="J104" i="33"/>
  <c r="K104" i="33" s="1"/>
  <c r="N104" i="33" s="1"/>
  <c r="M104" i="33" s="1"/>
  <c r="J46" i="5"/>
  <c r="J103" i="33"/>
  <c r="K103" i="33" s="1"/>
  <c r="N103" i="33" s="1"/>
  <c r="M103" i="33" s="1"/>
  <c r="J44" i="5"/>
  <c r="J102" i="33"/>
  <c r="K102" i="33" s="1"/>
  <c r="N102" i="33" s="1"/>
  <c r="M102" i="33" s="1"/>
  <c r="J43" i="5"/>
  <c r="J101" i="33"/>
  <c r="K101" i="33" s="1"/>
  <c r="N101" i="33" s="1"/>
  <c r="M101" i="33" s="1"/>
  <c r="J42" i="5"/>
  <c r="J100" i="33"/>
  <c r="K100" i="33" s="1"/>
  <c r="N100" i="33" s="1"/>
  <c r="M100" i="33" s="1"/>
  <c r="J41" i="5"/>
  <c r="J99" i="33"/>
  <c r="K99" i="33" s="1"/>
  <c r="N99" i="33" s="1"/>
  <c r="M99" i="33" s="1"/>
  <c r="J37" i="5"/>
  <c r="J98" i="33"/>
  <c r="K98" i="33" s="1"/>
  <c r="N98" i="33" s="1"/>
  <c r="M98" i="33" s="1"/>
  <c r="J36" i="5"/>
  <c r="J97" i="33"/>
  <c r="K97" i="33" s="1"/>
  <c r="N97" i="33" s="1"/>
  <c r="M97" i="33" s="1"/>
  <c r="J35" i="5"/>
  <c r="J96" i="33"/>
  <c r="K96" i="33" s="1"/>
  <c r="N96" i="33" s="1"/>
  <c r="M96" i="33" s="1"/>
  <c r="J34" i="5"/>
  <c r="J95" i="33"/>
  <c r="K95" i="33" s="1"/>
  <c r="N95" i="33" s="1"/>
  <c r="M95" i="33" s="1"/>
  <c r="J32" i="5"/>
  <c r="J94" i="33"/>
  <c r="K94" i="33" s="1"/>
  <c r="N94" i="33" s="1"/>
  <c r="M94" i="33" s="1"/>
  <c r="J31" i="5"/>
  <c r="J93" i="33"/>
  <c r="K93" i="33" s="1"/>
  <c r="N93" i="33" s="1"/>
  <c r="M93" i="33" s="1"/>
  <c r="J30" i="5"/>
  <c r="J92" i="33"/>
  <c r="K92" i="33" s="1"/>
  <c r="N92" i="33" s="1"/>
  <c r="M92" i="33" s="1"/>
  <c r="J29" i="5"/>
  <c r="J91" i="33"/>
  <c r="K91" i="33" s="1"/>
  <c r="N91" i="33" s="1"/>
  <c r="M91" i="33" s="1"/>
  <c r="J25" i="5"/>
  <c r="J90" i="33"/>
  <c r="K90" i="33" s="1"/>
  <c r="N90" i="33" s="1"/>
  <c r="M90" i="33" s="1"/>
  <c r="J24" i="5"/>
  <c r="J89" i="33"/>
  <c r="K89" i="33" s="1"/>
  <c r="N89" i="33" s="1"/>
  <c r="M89" i="33" s="1"/>
  <c r="J23" i="5"/>
  <c r="J88" i="33"/>
  <c r="K88" i="33" s="1"/>
  <c r="N88" i="33" s="1"/>
  <c r="M88" i="33" s="1"/>
  <c r="J22" i="5"/>
  <c r="J87" i="33"/>
  <c r="K87" i="33" s="1"/>
  <c r="N87" i="33" s="1"/>
  <c r="M87" i="33" s="1"/>
  <c r="J19" i="5"/>
  <c r="J86" i="33"/>
  <c r="K86" i="33" s="1"/>
  <c r="N86" i="33" s="1"/>
  <c r="M86" i="33" s="1"/>
  <c r="J18" i="5"/>
  <c r="J85" i="33"/>
  <c r="K85" i="33" s="1"/>
  <c r="N85" i="33" s="1"/>
  <c r="M85" i="33" s="1"/>
  <c r="J17" i="5"/>
  <c r="J84" i="33"/>
  <c r="K84" i="33" s="1"/>
  <c r="N84" i="33" s="1"/>
  <c r="M84" i="33" s="1"/>
  <c r="J16" i="5"/>
  <c r="J83" i="33"/>
  <c r="K83" i="33" s="1"/>
  <c r="N83" i="33" s="1"/>
  <c r="M83" i="33" s="1"/>
  <c r="J11" i="15"/>
  <c r="J82" i="33"/>
  <c r="K82" i="33" s="1"/>
  <c r="N82" i="33" s="1"/>
  <c r="M82" i="33" s="1"/>
  <c r="J10" i="15"/>
  <c r="J81" i="33"/>
  <c r="K81" i="33" s="1"/>
  <c r="N81" i="33" s="1"/>
  <c r="M81" i="33" s="1"/>
  <c r="J9" i="15"/>
  <c r="J80" i="33"/>
  <c r="K80" i="33" s="1"/>
  <c r="N80" i="33" s="1"/>
  <c r="M80" i="33" s="1"/>
  <c r="J8" i="15"/>
  <c r="J79" i="33"/>
  <c r="K79" i="33" s="1"/>
  <c r="N79" i="33" s="1"/>
  <c r="M79" i="33" s="1"/>
  <c r="J6" i="15"/>
  <c r="J78" i="33"/>
  <c r="K78" i="33" s="1"/>
  <c r="N78" i="33" s="1"/>
  <c r="M78" i="33" s="1"/>
  <c r="J5" i="15"/>
  <c r="J77" i="33"/>
  <c r="K77" i="33" s="1"/>
  <c r="N77" i="33" s="1"/>
  <c r="M77" i="33" s="1"/>
  <c r="J4" i="15"/>
  <c r="J76" i="33"/>
  <c r="K76" i="33" s="1"/>
  <c r="N76" i="33" s="1"/>
  <c r="M76" i="33" s="1"/>
  <c r="J13" i="5"/>
  <c r="J75" i="33"/>
  <c r="K75" i="33" s="1"/>
  <c r="N75" i="33" s="1"/>
  <c r="M75" i="33" s="1"/>
  <c r="J12" i="5"/>
  <c r="J74" i="33"/>
  <c r="K74" i="33" s="1"/>
  <c r="N74" i="33" s="1"/>
  <c r="M74" i="33" s="1"/>
  <c r="J11" i="5"/>
  <c r="J73" i="33"/>
  <c r="K73" i="33" s="1"/>
  <c r="N73" i="33" s="1"/>
  <c r="M73" i="33" s="1"/>
  <c r="J10" i="5"/>
  <c r="J72" i="33"/>
  <c r="K72" i="33" s="1"/>
  <c r="N72" i="33" s="1"/>
  <c r="M72" i="33" s="1"/>
  <c r="J7" i="5"/>
  <c r="J71" i="33"/>
  <c r="K71" i="33" s="1"/>
  <c r="N71" i="33" s="1"/>
  <c r="M71" i="33" s="1"/>
  <c r="J6" i="5"/>
  <c r="J70" i="33"/>
  <c r="K70" i="33" s="1"/>
  <c r="N70" i="33" s="1"/>
  <c r="M70" i="33" s="1"/>
  <c r="J5" i="5"/>
  <c r="J69" i="33"/>
  <c r="K69" i="33" s="1"/>
  <c r="N69" i="33" s="1"/>
  <c r="M69" i="33" s="1"/>
  <c r="J4" i="5"/>
  <c r="J67" i="33"/>
  <c r="K67" i="33" s="1"/>
  <c r="N67" i="33" s="1"/>
  <c r="M67" i="33" s="1"/>
  <c r="E66" i="33"/>
  <c r="J20" i="6" s="1"/>
  <c r="J66" i="33"/>
  <c r="K66" i="33" s="1"/>
  <c r="N66" i="33" s="1"/>
  <c r="M66" i="33" s="1"/>
  <c r="J19" i="6"/>
  <c r="N65" i="33"/>
  <c r="M65" i="33" s="1"/>
  <c r="E64" i="33"/>
  <c r="J15" i="6" s="1"/>
  <c r="J64" i="33"/>
  <c r="K64" i="33" s="1"/>
  <c r="N64" i="33" s="1"/>
  <c r="M64" i="33" s="1"/>
  <c r="N63" i="33"/>
  <c r="M63" i="33" s="1"/>
  <c r="E62" i="33"/>
  <c r="J13" i="6" s="1"/>
  <c r="J62" i="33"/>
  <c r="K62" i="33" s="1"/>
  <c r="N62" i="33" s="1"/>
  <c r="M62" i="33" s="1"/>
  <c r="E61" i="33"/>
  <c r="J61" i="33"/>
  <c r="K61" i="33" s="1"/>
  <c r="N61" i="33" s="1"/>
  <c r="M61" i="33" s="1"/>
  <c r="E60" i="33"/>
  <c r="J16" i="6" s="1"/>
  <c r="K60" i="33"/>
  <c r="N60" i="33" s="1"/>
  <c r="M60" i="33" s="1"/>
  <c r="E59" i="33"/>
  <c r="J11" i="6" s="1"/>
  <c r="J59" i="33"/>
  <c r="K59" i="33" s="1"/>
  <c r="N59" i="33" s="1"/>
  <c r="M59" i="33" s="1"/>
  <c r="E58" i="33"/>
  <c r="J10" i="6" s="1"/>
  <c r="J58" i="33"/>
  <c r="K58" i="33" s="1"/>
  <c r="N58" i="33" s="1"/>
  <c r="M58" i="33" s="1"/>
  <c r="E57" i="33"/>
  <c r="J9" i="6" s="1"/>
  <c r="J57" i="33"/>
  <c r="K57" i="33" s="1"/>
  <c r="N57" i="33" s="1"/>
  <c r="M57" i="33" s="1"/>
  <c r="E56" i="33"/>
  <c r="J8" i="6" s="1"/>
  <c r="J56" i="33"/>
  <c r="K56" i="33" s="1"/>
  <c r="N56" i="33" s="1"/>
  <c r="M56" i="33" s="1"/>
  <c r="E55" i="33"/>
  <c r="J7" i="6" s="1"/>
  <c r="J55" i="33"/>
  <c r="K55" i="33" s="1"/>
  <c r="N55" i="33" s="1"/>
  <c r="M55" i="33" s="1"/>
  <c r="E54" i="33"/>
  <c r="J6" i="6" s="1"/>
  <c r="J54" i="33"/>
  <c r="K54" i="33" s="1"/>
  <c r="N54" i="33" s="1"/>
  <c r="M54" i="33" s="1"/>
  <c r="E53" i="33"/>
  <c r="J5" i="6" s="1"/>
  <c r="J53" i="33"/>
  <c r="K53" i="33" s="1"/>
  <c r="N53" i="33" s="1"/>
  <c r="M53" i="33" s="1"/>
  <c r="E52" i="33"/>
  <c r="J4" i="6" s="1"/>
  <c r="J52" i="33"/>
  <c r="K52" i="33" s="1"/>
  <c r="N52" i="33" s="1"/>
  <c r="M52" i="33" s="1"/>
  <c r="E51" i="33"/>
  <c r="J23" i="4" s="1"/>
  <c r="J51" i="33"/>
  <c r="K51" i="33" s="1"/>
  <c r="N51" i="33" s="1"/>
  <c r="M51" i="33" s="1"/>
  <c r="E50" i="33"/>
  <c r="J22" i="4" s="1"/>
  <c r="J50" i="33"/>
  <c r="K50" i="33" s="1"/>
  <c r="N50" i="33" s="1"/>
  <c r="M50" i="33" s="1"/>
  <c r="E49" i="33"/>
  <c r="J49" i="33"/>
  <c r="K49" i="33" s="1"/>
  <c r="N49" i="33" s="1"/>
  <c r="M49" i="33" s="1"/>
  <c r="E48" i="33"/>
  <c r="J48" i="33"/>
  <c r="K48" i="33" s="1"/>
  <c r="N48" i="33" s="1"/>
  <c r="M48" i="33" s="1"/>
  <c r="E47" i="33"/>
  <c r="J47" i="33"/>
  <c r="K47" i="33" s="1"/>
  <c r="N47" i="33" s="1"/>
  <c r="M47" i="33" s="1"/>
  <c r="E46" i="33"/>
  <c r="J46" i="33"/>
  <c r="K46" i="33" s="1"/>
  <c r="N46" i="33" s="1"/>
  <c r="M46" i="33" s="1"/>
  <c r="E45" i="33"/>
  <c r="J15" i="4" s="1"/>
  <c r="J45" i="33"/>
  <c r="K45" i="33" s="1"/>
  <c r="N45" i="33" s="1"/>
  <c r="M45" i="33" s="1"/>
  <c r="E44" i="33"/>
  <c r="J14" i="4" s="1"/>
  <c r="J43" i="33"/>
  <c r="K43" i="33" s="1"/>
  <c r="N43" i="33" s="1"/>
  <c r="M43" i="33" s="1"/>
  <c r="J42" i="33"/>
  <c r="K42" i="33" s="1"/>
  <c r="N42" i="33" s="1"/>
  <c r="M42" i="33" s="1"/>
  <c r="J41" i="33"/>
  <c r="K41" i="33" s="1"/>
  <c r="N41" i="33" s="1"/>
  <c r="M41" i="33" s="1"/>
  <c r="J40" i="33"/>
  <c r="K40" i="33" s="1"/>
  <c r="N40" i="33" s="1"/>
  <c r="M40" i="33" s="1"/>
  <c r="J39" i="33"/>
  <c r="K39" i="33" s="1"/>
  <c r="N39" i="33" s="1"/>
  <c r="M39" i="33" s="1"/>
  <c r="J38" i="33"/>
  <c r="K38" i="33" s="1"/>
  <c r="N38" i="33" s="1"/>
  <c r="M38" i="33" s="1"/>
  <c r="J37" i="33"/>
  <c r="K37" i="33" s="1"/>
  <c r="N37" i="33" s="1"/>
  <c r="M37" i="33" s="1"/>
  <c r="J36" i="33"/>
  <c r="K36" i="33" s="1"/>
  <c r="N36" i="33" s="1"/>
  <c r="M36" i="33" s="1"/>
  <c r="J35" i="33"/>
  <c r="K35" i="33" s="1"/>
  <c r="N35" i="33" s="1"/>
  <c r="M35" i="33" s="1"/>
  <c r="J34" i="33"/>
  <c r="K34" i="33" s="1"/>
  <c r="N34" i="33" s="1"/>
  <c r="M34" i="33" s="1"/>
  <c r="J33" i="33"/>
  <c r="K33" i="33" s="1"/>
  <c r="N33" i="33" s="1"/>
  <c r="M33" i="33" s="1"/>
  <c r="J32" i="33"/>
  <c r="J17" i="33"/>
  <c r="J16" i="33"/>
  <c r="J15" i="33"/>
  <c r="J14" i="33"/>
  <c r="K755" i="33" l="1"/>
  <c r="N755" i="33" s="1"/>
  <c r="M755" i="33" s="1"/>
  <c r="N297" i="33"/>
  <c r="M297" i="33" s="1"/>
  <c r="K32" i="33"/>
  <c r="N32" i="33" s="1"/>
  <c r="M32" i="33" s="1"/>
  <c r="P432" i="26"/>
  <c r="R432" i="26"/>
  <c r="S432" i="26"/>
  <c r="T432" i="26"/>
  <c r="U432" i="26"/>
  <c r="P433" i="26"/>
  <c r="R433" i="26"/>
  <c r="S433" i="26"/>
  <c r="T433" i="26"/>
  <c r="U433" i="26"/>
  <c r="P434" i="26"/>
  <c r="R434" i="26"/>
  <c r="S434" i="26"/>
  <c r="T434" i="26"/>
  <c r="U434" i="26"/>
  <c r="P435" i="26"/>
  <c r="R435" i="26"/>
  <c r="S435" i="26"/>
  <c r="T435" i="26"/>
  <c r="U435" i="26"/>
  <c r="P436" i="26"/>
  <c r="R436" i="26"/>
  <c r="S436" i="26"/>
  <c r="T436" i="26"/>
  <c r="U436" i="26"/>
  <c r="P437" i="26"/>
  <c r="R437" i="26"/>
  <c r="S437" i="26"/>
  <c r="T437" i="26"/>
  <c r="U437" i="26"/>
  <c r="P438" i="26"/>
  <c r="R438" i="26"/>
  <c r="S438" i="26"/>
  <c r="T438" i="26"/>
  <c r="U438" i="26"/>
  <c r="P440" i="26"/>
  <c r="S440" i="26"/>
  <c r="T440" i="26"/>
  <c r="U440" i="26"/>
  <c r="P441" i="26"/>
  <c r="S441" i="26"/>
  <c r="T441" i="26"/>
  <c r="U441" i="26"/>
  <c r="P442" i="26"/>
  <c r="S442" i="26"/>
  <c r="T442" i="26"/>
  <c r="U442" i="26"/>
  <c r="P443" i="26"/>
  <c r="S443" i="26"/>
  <c r="T443" i="26"/>
  <c r="U443" i="26"/>
  <c r="P445" i="26"/>
  <c r="S445" i="26"/>
  <c r="T445" i="26"/>
  <c r="U445" i="26"/>
  <c r="P446" i="26"/>
  <c r="Q446" i="26"/>
  <c r="R446" i="26"/>
  <c r="S446" i="26"/>
  <c r="T446" i="26"/>
  <c r="U446" i="26"/>
  <c r="P447" i="26"/>
  <c r="Q447" i="26"/>
  <c r="R447" i="26"/>
  <c r="S447" i="26"/>
  <c r="T447" i="26"/>
  <c r="U447" i="26"/>
  <c r="P426" i="26" l="1"/>
  <c r="S426" i="26"/>
  <c r="T426" i="26"/>
  <c r="U426" i="26"/>
  <c r="P427" i="26"/>
  <c r="S427" i="26"/>
  <c r="T427" i="26"/>
  <c r="U427" i="26"/>
  <c r="P428" i="26"/>
  <c r="S428" i="26"/>
  <c r="T428" i="26"/>
  <c r="U428" i="26"/>
  <c r="P429" i="26"/>
  <c r="S429" i="26"/>
  <c r="T429" i="26"/>
  <c r="U429" i="26"/>
  <c r="P430" i="26"/>
  <c r="S430" i="26"/>
  <c r="T430" i="26"/>
  <c r="U430" i="26"/>
  <c r="P431" i="26"/>
  <c r="S431" i="26"/>
  <c r="T431" i="26"/>
  <c r="U431" i="26"/>
  <c r="P343" i="26"/>
  <c r="S343" i="26"/>
  <c r="T343" i="26"/>
  <c r="U343" i="26"/>
  <c r="P349" i="26"/>
  <c r="S349" i="26"/>
  <c r="T349" i="26"/>
  <c r="U349" i="26"/>
  <c r="P352" i="26"/>
  <c r="S352" i="26"/>
  <c r="T352" i="26"/>
  <c r="U352" i="26"/>
  <c r="P353" i="26"/>
  <c r="S353" i="26"/>
  <c r="T353" i="26"/>
  <c r="U353" i="26"/>
  <c r="P183" i="26"/>
  <c r="S183" i="26"/>
  <c r="T183" i="26"/>
  <c r="U183" i="26"/>
  <c r="P151" i="26"/>
  <c r="S151" i="26"/>
  <c r="T151" i="26"/>
  <c r="U151" i="26"/>
  <c r="P152" i="26"/>
  <c r="S152" i="26"/>
  <c r="T152" i="26"/>
  <c r="U152" i="26"/>
  <c r="P153" i="26"/>
  <c r="S153" i="26"/>
  <c r="T153" i="26"/>
  <c r="U153" i="26"/>
  <c r="P154" i="26"/>
  <c r="S154" i="26"/>
  <c r="T154" i="26"/>
  <c r="U154" i="26"/>
  <c r="P155" i="26"/>
  <c r="S155" i="26"/>
  <c r="T155" i="26"/>
  <c r="U155" i="26"/>
  <c r="P156" i="26"/>
  <c r="S156" i="26"/>
  <c r="T156" i="26"/>
  <c r="U156" i="26"/>
  <c r="P157" i="26"/>
  <c r="S157" i="26"/>
  <c r="T157" i="26"/>
  <c r="U157" i="26"/>
  <c r="P158" i="26"/>
  <c r="S158" i="26"/>
  <c r="T158" i="26"/>
  <c r="U158" i="26"/>
  <c r="P160" i="26"/>
  <c r="S160" i="26"/>
  <c r="T160" i="26"/>
  <c r="U160" i="26"/>
  <c r="P161" i="26"/>
  <c r="S161" i="26"/>
  <c r="T161" i="26"/>
  <c r="U161" i="26"/>
  <c r="P162" i="26"/>
  <c r="S162" i="26"/>
  <c r="T162" i="26"/>
  <c r="U162" i="26"/>
  <c r="P163" i="26"/>
  <c r="S163" i="26"/>
  <c r="T163" i="26"/>
  <c r="U163" i="26"/>
  <c r="P164" i="26"/>
  <c r="S164" i="26"/>
  <c r="T164" i="26"/>
  <c r="U164" i="26"/>
  <c r="P165" i="26"/>
  <c r="S165" i="26"/>
  <c r="T165" i="26"/>
  <c r="U165" i="26"/>
  <c r="P166" i="26"/>
  <c r="S166" i="26"/>
  <c r="T166" i="26"/>
  <c r="U166" i="26"/>
  <c r="P167" i="26"/>
  <c r="S167" i="26"/>
  <c r="T167" i="26"/>
  <c r="U167" i="26"/>
  <c r="P140" i="26"/>
  <c r="S140" i="26"/>
  <c r="T140" i="26"/>
  <c r="U140" i="26"/>
  <c r="P141" i="26"/>
  <c r="S141" i="26"/>
  <c r="T141" i="26"/>
  <c r="U141" i="26"/>
  <c r="P142" i="26"/>
  <c r="S142" i="26"/>
  <c r="T142" i="26"/>
  <c r="U142" i="26"/>
  <c r="P143" i="26"/>
  <c r="S143" i="26"/>
  <c r="T143" i="26"/>
  <c r="U143" i="26"/>
  <c r="P144" i="26"/>
  <c r="S144" i="26"/>
  <c r="T144" i="26"/>
  <c r="U144" i="26"/>
  <c r="P145" i="26"/>
  <c r="S145" i="26"/>
  <c r="T145" i="26"/>
  <c r="U145" i="26"/>
  <c r="P146" i="26"/>
  <c r="S146" i="26"/>
  <c r="T146" i="26"/>
  <c r="U146" i="26"/>
  <c r="P147" i="26"/>
  <c r="S147" i="26"/>
  <c r="T147" i="26"/>
  <c r="U147" i="26"/>
  <c r="P150" i="26"/>
  <c r="S150" i="26"/>
  <c r="T150" i="26"/>
  <c r="U150" i="26"/>
  <c r="T106" i="26"/>
  <c r="U106" i="26"/>
  <c r="T107" i="26"/>
  <c r="U107" i="26"/>
  <c r="T108" i="26"/>
  <c r="U108" i="26"/>
  <c r="T109" i="26"/>
  <c r="U109" i="26"/>
  <c r="P127" i="26"/>
  <c r="S127" i="26"/>
  <c r="T127" i="26"/>
  <c r="U127" i="26"/>
  <c r="P125" i="26"/>
  <c r="S125" i="26"/>
  <c r="T125" i="26"/>
  <c r="U125" i="26"/>
  <c r="P126" i="26"/>
  <c r="S126" i="26"/>
  <c r="T126" i="26"/>
  <c r="U126" i="26"/>
  <c r="N17" i="26"/>
  <c r="N16" i="26"/>
  <c r="P39" i="26"/>
  <c r="S39" i="26"/>
  <c r="T39" i="26"/>
  <c r="U39" i="26"/>
  <c r="V39" i="26"/>
  <c r="P40" i="26"/>
  <c r="S40" i="26"/>
  <c r="T40" i="26"/>
  <c r="U40" i="26"/>
  <c r="V40" i="26"/>
  <c r="P41" i="26"/>
  <c r="S41" i="26"/>
  <c r="T41" i="26"/>
  <c r="U41" i="26"/>
  <c r="V41" i="26"/>
  <c r="N38" i="26"/>
  <c r="N33" i="26"/>
  <c r="P33" i="26"/>
  <c r="S33" i="26"/>
  <c r="T33" i="26"/>
  <c r="U33" i="26"/>
  <c r="V33" i="26"/>
  <c r="N34" i="26"/>
  <c r="P34" i="26"/>
  <c r="S34" i="26"/>
  <c r="T34" i="26"/>
  <c r="U34" i="26"/>
  <c r="V34" i="26"/>
  <c r="N35" i="26"/>
  <c r="P35" i="26"/>
  <c r="S35" i="26"/>
  <c r="T35" i="26"/>
  <c r="U35" i="26"/>
  <c r="V35" i="26"/>
  <c r="P38" i="26"/>
  <c r="S38" i="26"/>
  <c r="T38" i="26"/>
  <c r="U38" i="26"/>
  <c r="V38" i="26"/>
  <c r="P30" i="26"/>
  <c r="S30" i="26"/>
  <c r="T30" i="26"/>
  <c r="U30" i="26"/>
  <c r="V30" i="26"/>
  <c r="P31" i="26"/>
  <c r="S31" i="26"/>
  <c r="T31" i="26"/>
  <c r="U31" i="26"/>
  <c r="V31" i="26"/>
  <c r="N32" i="26"/>
  <c r="P32" i="26"/>
  <c r="S32" i="26"/>
  <c r="T32" i="26"/>
  <c r="U32" i="26"/>
  <c r="V32" i="26"/>
  <c r="P17" i="26"/>
  <c r="P16" i="26"/>
  <c r="S16" i="26"/>
  <c r="T16" i="26"/>
  <c r="U16" i="26"/>
  <c r="V16" i="26"/>
  <c r="S17" i="26"/>
  <c r="T17" i="26"/>
  <c r="U17" i="26"/>
  <c r="V17" i="26"/>
  <c r="P18" i="26"/>
  <c r="V18" i="26"/>
  <c r="P19" i="26"/>
  <c r="V19" i="26"/>
  <c r="P20" i="26"/>
  <c r="V20" i="26"/>
  <c r="P21" i="26"/>
  <c r="V21" i="26"/>
  <c r="Q126" i="26" l="1"/>
  <c r="K51" i="15" l="1"/>
  <c r="R125" i="26" s="1"/>
  <c r="Q125" i="26"/>
  <c r="Q441" i="26" l="1"/>
  <c r="Q440" i="26"/>
  <c r="Q343" i="26"/>
  <c r="Q353" i="26"/>
  <c r="Q352" i="26"/>
  <c r="Q349" i="26"/>
  <c r="Q120" i="26" l="1"/>
  <c r="Q86" i="26"/>
  <c r="Q119" i="26"/>
  <c r="Q103" i="26"/>
  <c r="Q127" i="26"/>
  <c r="Q102" i="26"/>
  <c r="Q101" i="26"/>
  <c r="Q157" i="26"/>
  <c r="Q78" i="26"/>
  <c r="Q68" i="26"/>
  <c r="Q58" i="26"/>
  <c r="Q46" i="26"/>
  <c r="Q33" i="26"/>
  <c r="Q85" i="26"/>
  <c r="Q100" i="26"/>
  <c r="Q99" i="26"/>
  <c r="Q156" i="26"/>
  <c r="Q155" i="26"/>
  <c r="Q77" i="26"/>
  <c r="Q67" i="26"/>
  <c r="Q57" i="26"/>
  <c r="Q45" i="26"/>
  <c r="Q32" i="26"/>
  <c r="Q154" i="26"/>
  <c r="Q153" i="26"/>
  <c r="Q41" i="26"/>
  <c r="Q152" i="26"/>
  <c r="Q151" i="26"/>
  <c r="Q40" i="26"/>
  <c r="Q17" i="26"/>
  <c r="Q150" i="26"/>
  <c r="Q39" i="26"/>
  <c r="Q16" i="26"/>
  <c r="Q38" i="26"/>
  <c r="Q35" i="26"/>
  <c r="Q34" i="26"/>
  <c r="Q443" i="26"/>
  <c r="Q442" i="26"/>
  <c r="Q445" i="26"/>
  <c r="I40" i="7"/>
  <c r="I39" i="7"/>
  <c r="P209" i="26"/>
  <c r="Q209" i="26"/>
  <c r="R209" i="26"/>
  <c r="S209" i="26"/>
  <c r="T209" i="26"/>
  <c r="P204" i="26"/>
  <c r="Q204" i="26"/>
  <c r="R204" i="26"/>
  <c r="S204" i="26"/>
  <c r="T204" i="26"/>
  <c r="U204" i="26"/>
  <c r="P205" i="26"/>
  <c r="Q205" i="26"/>
  <c r="R205" i="26"/>
  <c r="S205" i="26"/>
  <c r="T205" i="26"/>
  <c r="U205" i="26"/>
  <c r="P206" i="26"/>
  <c r="S206" i="26"/>
  <c r="T206" i="26"/>
  <c r="U206" i="26"/>
  <c r="P207" i="26"/>
  <c r="S207" i="26"/>
  <c r="T207" i="26"/>
  <c r="U207" i="26"/>
  <c r="P208" i="26"/>
  <c r="Q208" i="26"/>
  <c r="R208" i="26"/>
  <c r="S208" i="26"/>
  <c r="T208" i="26"/>
  <c r="U208" i="26"/>
  <c r="P184" i="26"/>
  <c r="S184" i="26"/>
  <c r="P185" i="26"/>
  <c r="S185" i="26"/>
  <c r="P186" i="26"/>
  <c r="S186" i="26"/>
  <c r="P106" i="26"/>
  <c r="P107" i="26"/>
  <c r="P108" i="26"/>
  <c r="P109" i="26"/>
  <c r="S106" i="26"/>
  <c r="S107" i="26"/>
  <c r="S108" i="26"/>
  <c r="S109" i="26"/>
  <c r="K36" i="16" l="1"/>
  <c r="R162" i="26" s="1"/>
  <c r="Q162" i="26"/>
  <c r="K29" i="8"/>
  <c r="R426" i="26" s="1"/>
  <c r="Q426" i="26"/>
  <c r="K30" i="8"/>
  <c r="R427" i="26" s="1"/>
  <c r="Q427" i="26"/>
  <c r="K31" i="8"/>
  <c r="R428" i="26" s="1"/>
  <c r="Q428" i="26"/>
  <c r="K33" i="8"/>
  <c r="R430" i="26" s="1"/>
  <c r="Q430" i="26"/>
  <c r="K35" i="16"/>
  <c r="R161" i="26" s="1"/>
  <c r="Q161" i="26"/>
  <c r="K17" i="16"/>
  <c r="R143" i="26" s="1"/>
  <c r="Q143" i="26"/>
  <c r="K34" i="8"/>
  <c r="R431" i="26" s="1"/>
  <c r="Q431" i="26"/>
  <c r="K16" i="16"/>
  <c r="R142" i="26" s="1"/>
  <c r="Q142" i="26"/>
  <c r="K32" i="8"/>
  <c r="R429" i="26" s="1"/>
  <c r="Q429" i="26"/>
  <c r="K32" i="16"/>
  <c r="R158" i="26" s="1"/>
  <c r="Q158" i="26"/>
  <c r="K15" i="16"/>
  <c r="R141" i="26" s="1"/>
  <c r="Q141" i="26"/>
  <c r="K37" i="16"/>
  <c r="R163" i="26" s="1"/>
  <c r="Q163" i="26"/>
  <c r="K39" i="15"/>
  <c r="K41" i="15"/>
  <c r="K42" i="15"/>
  <c r="K4" i="15"/>
  <c r="K5" i="15"/>
  <c r="K6" i="15"/>
  <c r="K8" i="15"/>
  <c r="K9" i="15"/>
  <c r="K10" i="15"/>
  <c r="K11" i="15"/>
  <c r="K15" i="15"/>
  <c r="K16" i="15"/>
  <c r="K17" i="15"/>
  <c r="K18" i="15"/>
  <c r="K19" i="15"/>
  <c r="K20" i="15"/>
  <c r="K22" i="15"/>
  <c r="K23" i="15"/>
  <c r="K24" i="15"/>
  <c r="K25" i="15"/>
  <c r="K26" i="15"/>
  <c r="K28" i="15"/>
  <c r="K37" i="15"/>
  <c r="K38" i="15"/>
  <c r="K40" i="15"/>
  <c r="K44" i="15"/>
  <c r="K45" i="15"/>
  <c r="K46" i="15"/>
  <c r="K47" i="15"/>
  <c r="K48" i="15"/>
  <c r="K52" i="15"/>
  <c r="R126" i="26" s="1"/>
  <c r="K53" i="15"/>
  <c r="R127" i="26" s="1"/>
  <c r="K41" i="16" l="1"/>
  <c r="R167" i="26" s="1"/>
  <c r="Q167" i="26"/>
  <c r="K14" i="16"/>
  <c r="R140" i="26" s="1"/>
  <c r="Q140" i="26"/>
  <c r="K39" i="16"/>
  <c r="R165" i="26" s="1"/>
  <c r="Q165" i="26"/>
  <c r="K38" i="16"/>
  <c r="R164" i="26" s="1"/>
  <c r="Q164" i="26"/>
  <c r="K34" i="16"/>
  <c r="R160" i="26" s="1"/>
  <c r="Q160" i="26"/>
  <c r="K20" i="16"/>
  <c r="R146" i="26" s="1"/>
  <c r="Q146" i="26"/>
  <c r="K18" i="16"/>
  <c r="R144" i="26" s="1"/>
  <c r="Q144" i="26"/>
  <c r="K40" i="16"/>
  <c r="R166" i="26" s="1"/>
  <c r="Q166" i="26"/>
  <c r="K21" i="16"/>
  <c r="R147" i="26" s="1"/>
  <c r="Q147" i="26"/>
  <c r="K19" i="16"/>
  <c r="R145" i="26" s="1"/>
  <c r="Q145" i="26"/>
  <c r="K27" i="7"/>
  <c r="R206" i="26" s="1"/>
  <c r="Q206" i="26"/>
  <c r="K28" i="7"/>
  <c r="R207" i="26" s="1"/>
  <c r="Q207" i="26"/>
  <c r="K32" i="15"/>
  <c r="R109" i="26" s="1"/>
  <c r="Q109" i="26"/>
  <c r="K31" i="15"/>
  <c r="R108" i="26" s="1"/>
  <c r="Q108" i="26"/>
  <c r="K30" i="15"/>
  <c r="R107" i="26" s="1"/>
  <c r="Q107" i="26"/>
  <c r="K29" i="15"/>
  <c r="R106" i="26" s="1"/>
  <c r="Q106" i="26"/>
  <c r="U228" i="26" l="1"/>
  <c r="T228" i="26"/>
  <c r="S228" i="26"/>
  <c r="P228" i="26"/>
  <c r="U227" i="26"/>
  <c r="T227" i="26"/>
  <c r="S227" i="26"/>
  <c r="P227" i="26"/>
  <c r="U226" i="26"/>
  <c r="T226" i="26"/>
  <c r="S226" i="26"/>
  <c r="R226" i="26"/>
  <c r="Q226" i="26"/>
  <c r="P226" i="26"/>
  <c r="U225" i="26"/>
  <c r="T225" i="26"/>
  <c r="S225" i="26"/>
  <c r="R225" i="26"/>
  <c r="Q225" i="26"/>
  <c r="P225" i="26"/>
  <c r="U224" i="26"/>
  <c r="T224" i="26"/>
  <c r="S224" i="26"/>
  <c r="P224" i="26"/>
  <c r="U223" i="26"/>
  <c r="T223" i="26"/>
  <c r="S223" i="26"/>
  <c r="P223" i="26"/>
  <c r="U222" i="26"/>
  <c r="T222" i="26"/>
  <c r="S222" i="26"/>
  <c r="P222" i="26"/>
  <c r="U221" i="26"/>
  <c r="T221" i="26"/>
  <c r="S221" i="26"/>
  <c r="P221" i="26"/>
  <c r="K49" i="7"/>
  <c r="R228" i="26" s="1"/>
  <c r="K48" i="7"/>
  <c r="R227" i="26" s="1"/>
  <c r="K43" i="7"/>
  <c r="R222" i="26" s="1"/>
  <c r="K42" i="7"/>
  <c r="R221" i="26" s="1"/>
  <c r="P424" i="26"/>
  <c r="S424" i="26"/>
  <c r="T424" i="26"/>
  <c r="U424" i="26"/>
  <c r="P420" i="26"/>
  <c r="S420" i="26"/>
  <c r="T420" i="26"/>
  <c r="U420" i="26"/>
  <c r="P421" i="26"/>
  <c r="S421" i="26"/>
  <c r="T421" i="26"/>
  <c r="U421" i="26"/>
  <c r="P422" i="26"/>
  <c r="S422" i="26"/>
  <c r="T422" i="26"/>
  <c r="U422" i="26"/>
  <c r="P423" i="26"/>
  <c r="S423" i="26"/>
  <c r="T423" i="26"/>
  <c r="U423" i="26"/>
  <c r="U271" i="26"/>
  <c r="P272" i="26"/>
  <c r="S272" i="26"/>
  <c r="T272" i="26"/>
  <c r="U272" i="26"/>
  <c r="P273" i="26"/>
  <c r="S273" i="26"/>
  <c r="T273" i="26"/>
  <c r="U273" i="26"/>
  <c r="P274" i="26"/>
  <c r="S274" i="26"/>
  <c r="T274" i="26"/>
  <c r="U274" i="26"/>
  <c r="P275" i="26"/>
  <c r="S275" i="26"/>
  <c r="T275" i="26"/>
  <c r="U275" i="26"/>
  <c r="P276" i="26"/>
  <c r="S276" i="26"/>
  <c r="T276" i="26"/>
  <c r="U276" i="26"/>
  <c r="Q222" i="26" l="1"/>
  <c r="Q228" i="26"/>
  <c r="Q221" i="26"/>
  <c r="Q227" i="26"/>
  <c r="P178" i="26"/>
  <c r="S178" i="26"/>
  <c r="T178" i="26"/>
  <c r="U178" i="26"/>
  <c r="P181" i="26"/>
  <c r="S181" i="26"/>
  <c r="T181" i="26"/>
  <c r="U181" i="26"/>
  <c r="P175" i="26"/>
  <c r="S175" i="26"/>
  <c r="T175" i="26"/>
  <c r="U175" i="26"/>
  <c r="P177" i="26"/>
  <c r="S177" i="26"/>
  <c r="T177" i="26"/>
  <c r="U177" i="26"/>
  <c r="P85" i="26"/>
  <c r="S85" i="26"/>
  <c r="T85" i="26"/>
  <c r="U85" i="26"/>
  <c r="P101" i="26"/>
  <c r="S101" i="26"/>
  <c r="T101" i="26"/>
  <c r="U101" i="26"/>
  <c r="P102" i="26"/>
  <c r="S102" i="26"/>
  <c r="T102" i="26"/>
  <c r="U102" i="26"/>
  <c r="P98" i="26"/>
  <c r="Q98" i="26"/>
  <c r="R98" i="26"/>
  <c r="S98" i="26"/>
  <c r="T98" i="26"/>
  <c r="U98" i="26"/>
  <c r="P99" i="26"/>
  <c r="S99" i="26"/>
  <c r="T99" i="26"/>
  <c r="U99" i="26"/>
  <c r="P270" i="26"/>
  <c r="S270" i="26"/>
  <c r="T270" i="26"/>
  <c r="U270" i="26"/>
  <c r="K55" i="16" l="1"/>
  <c r="R99" i="26" l="1"/>
  <c r="R102" i="26"/>
  <c r="R85" i="26"/>
  <c r="K56" i="16"/>
  <c r="R175" i="26" s="1"/>
  <c r="Q175" i="26"/>
  <c r="R100" i="26"/>
  <c r="R101" i="26"/>
  <c r="I15" i="20" l="1"/>
  <c r="I14" i="20"/>
  <c r="I69" i="21"/>
  <c r="I68" i="21"/>
  <c r="I47" i="6"/>
  <c r="K24" i="8" l="1"/>
  <c r="R421" i="26" s="1"/>
  <c r="Q421" i="26"/>
  <c r="I40" i="6"/>
  <c r="I55" i="6"/>
  <c r="I8" i="20"/>
  <c r="I5" i="7"/>
  <c r="Q184" i="26" s="1"/>
  <c r="Q177" i="26"/>
  <c r="I54" i="8"/>
  <c r="I10" i="7"/>
  <c r="I55" i="8"/>
  <c r="I4" i="7"/>
  <c r="Q183" i="26" s="1"/>
  <c r="Q178" i="26"/>
  <c r="I53" i="8"/>
  <c r="I11" i="7"/>
  <c r="I56" i="8"/>
  <c r="I7" i="7" l="1"/>
  <c r="Q186" i="26" s="1"/>
  <c r="I6" i="7"/>
  <c r="Q185" i="26" s="1"/>
  <c r="K25" i="8"/>
  <c r="R422" i="26" s="1"/>
  <c r="Q422" i="26"/>
  <c r="K23" i="8"/>
  <c r="R420" i="26" s="1"/>
  <c r="Q420" i="26"/>
  <c r="K27" i="8"/>
  <c r="R424" i="26" s="1"/>
  <c r="Q424" i="26"/>
  <c r="K26" i="8"/>
  <c r="R423" i="26" s="1"/>
  <c r="Q423" i="26"/>
  <c r="I5" i="17"/>
  <c r="I6" i="17"/>
  <c r="I7" i="17"/>
  <c r="I8" i="17"/>
  <c r="I30" i="17"/>
  <c r="K45" i="7" l="1"/>
  <c r="R224" i="26" s="1"/>
  <c r="Q224" i="26"/>
  <c r="K44" i="7"/>
  <c r="R223" i="26" s="1"/>
  <c r="Q223" i="26"/>
  <c r="Q181" i="26"/>
  <c r="K63" i="16"/>
  <c r="R181" i="26" s="1"/>
  <c r="K24" i="17"/>
  <c r="R275" i="26" s="1"/>
  <c r="Q275" i="26"/>
  <c r="K19" i="17"/>
  <c r="R270" i="26" s="1"/>
  <c r="Q270" i="26"/>
  <c r="K22" i="17"/>
  <c r="R273" i="26" s="1"/>
  <c r="Q273" i="26"/>
  <c r="K25" i="17"/>
  <c r="R276" i="26" s="1"/>
  <c r="Q276" i="26"/>
  <c r="K23" i="17"/>
  <c r="R274" i="26" s="1"/>
  <c r="Q274" i="26"/>
  <c r="K12" i="5"/>
  <c r="R34" i="26" s="1"/>
  <c r="S104" i="26" l="1"/>
  <c r="T104" i="26"/>
  <c r="U104" i="26"/>
  <c r="S103" i="26"/>
  <c r="T103" i="26"/>
  <c r="U103" i="26"/>
  <c r="P103" i="26"/>
  <c r="K59" i="17"/>
  <c r="K15" i="20" l="1"/>
  <c r="I44" i="16" l="1"/>
  <c r="K44" i="16" s="1"/>
  <c r="I45" i="16"/>
  <c r="K45" i="16" l="1"/>
  <c r="K53" i="16"/>
  <c r="K54" i="16"/>
  <c r="P295" i="26"/>
  <c r="S295" i="26"/>
  <c r="T295" i="26"/>
  <c r="U295" i="26"/>
  <c r="P296" i="26"/>
  <c r="S296" i="26"/>
  <c r="T296" i="26"/>
  <c r="U296" i="26"/>
  <c r="P297" i="26"/>
  <c r="S297" i="26"/>
  <c r="T297" i="26"/>
  <c r="U297" i="26"/>
  <c r="U79" i="26"/>
  <c r="R103" i="26" l="1"/>
  <c r="K76" i="7"/>
  <c r="K7" i="17"/>
  <c r="K6" i="17"/>
  <c r="K8" i="17"/>
  <c r="I3" i="20"/>
  <c r="K3" i="20" s="1"/>
  <c r="K4" i="20"/>
  <c r="K5" i="20"/>
  <c r="K6" i="20"/>
  <c r="K4" i="4"/>
  <c r="K61" i="17" l="1"/>
  <c r="Q297" i="26"/>
  <c r="K58" i="17"/>
  <c r="R295" i="26" s="1"/>
  <c r="Q295" i="26"/>
  <c r="K60" i="17"/>
  <c r="R296" i="26" s="1"/>
  <c r="Q296" i="26"/>
  <c r="R297" i="26" l="1"/>
  <c r="P22" i="26"/>
  <c r="V22" i="26"/>
  <c r="N23" i="26"/>
  <c r="P23" i="26"/>
  <c r="S23" i="26"/>
  <c r="T23" i="26"/>
  <c r="U23" i="26"/>
  <c r="V23" i="26"/>
  <c r="N24" i="26"/>
  <c r="P24" i="26"/>
  <c r="S24" i="26"/>
  <c r="T24" i="26"/>
  <c r="U24" i="26"/>
  <c r="V24" i="26"/>
  <c r="N26" i="26"/>
  <c r="P26" i="26"/>
  <c r="S26" i="26"/>
  <c r="T26" i="26"/>
  <c r="U26" i="26"/>
  <c r="V26" i="26"/>
  <c r="N27" i="26"/>
  <c r="P27" i="26"/>
  <c r="S27" i="26"/>
  <c r="T27" i="26"/>
  <c r="U27" i="26"/>
  <c r="V27" i="26"/>
  <c r="N28" i="26"/>
  <c r="P28" i="26"/>
  <c r="S28" i="26"/>
  <c r="T28" i="26"/>
  <c r="U28" i="26"/>
  <c r="V28" i="26"/>
  <c r="N29" i="26"/>
  <c r="P29" i="26"/>
  <c r="S29" i="26"/>
  <c r="T29" i="26"/>
  <c r="U29" i="26"/>
  <c r="V29" i="26"/>
  <c r="V13" i="26"/>
  <c r="U449" i="26"/>
  <c r="U450" i="26"/>
  <c r="U451" i="26"/>
  <c r="U452" i="26"/>
  <c r="T449" i="26"/>
  <c r="T450" i="26"/>
  <c r="T451" i="26"/>
  <c r="T452" i="26"/>
  <c r="S449" i="26"/>
  <c r="S450" i="26"/>
  <c r="S451" i="26"/>
  <c r="P449" i="26"/>
  <c r="P450" i="26"/>
  <c r="P451" i="26"/>
  <c r="Q449" i="26"/>
  <c r="Q450" i="26"/>
  <c r="Q451" i="26"/>
  <c r="R450" i="26"/>
  <c r="R451" i="26"/>
  <c r="R449" i="26"/>
  <c r="S453" i="26"/>
  <c r="T453" i="26"/>
  <c r="T454" i="26"/>
  <c r="T455" i="26"/>
  <c r="T456" i="26"/>
  <c r="T457" i="26"/>
  <c r="T458" i="26"/>
  <c r="S459" i="26"/>
  <c r="T459" i="26"/>
  <c r="S460" i="26"/>
  <c r="T460" i="26"/>
  <c r="U337" i="26"/>
  <c r="P338" i="26"/>
  <c r="S338" i="26"/>
  <c r="T338" i="26"/>
  <c r="U338" i="26"/>
  <c r="P339" i="26"/>
  <c r="S339" i="26"/>
  <c r="T339" i="26"/>
  <c r="U339" i="26"/>
  <c r="P340" i="26"/>
  <c r="S340" i="26"/>
  <c r="T340" i="26"/>
  <c r="U340" i="26"/>
  <c r="P341" i="26"/>
  <c r="S341" i="26"/>
  <c r="T341" i="26"/>
  <c r="U341" i="26"/>
  <c r="P308" i="26" l="1"/>
  <c r="S308" i="26"/>
  <c r="T308" i="26"/>
  <c r="U308" i="26"/>
  <c r="P309" i="26"/>
  <c r="S309" i="26"/>
  <c r="T309" i="26"/>
  <c r="U309" i="26"/>
  <c r="P310" i="26"/>
  <c r="S310" i="26"/>
  <c r="T310" i="26"/>
  <c r="U310" i="26"/>
  <c r="P311" i="26"/>
  <c r="S311" i="26"/>
  <c r="T311" i="26"/>
  <c r="U311" i="26"/>
  <c r="P314" i="26"/>
  <c r="S314" i="26"/>
  <c r="T314" i="26"/>
  <c r="U314" i="26"/>
  <c r="P315" i="26"/>
  <c r="S315" i="26"/>
  <c r="T315" i="26"/>
  <c r="U315" i="26"/>
  <c r="P316" i="26"/>
  <c r="S316" i="26"/>
  <c r="P317" i="26"/>
  <c r="S317" i="26"/>
  <c r="T317" i="26"/>
  <c r="U317" i="26"/>
  <c r="P318" i="26"/>
  <c r="S318" i="26"/>
  <c r="T318" i="26"/>
  <c r="U318" i="26"/>
  <c r="P319" i="26"/>
  <c r="S319" i="26"/>
  <c r="T319" i="26"/>
  <c r="U319" i="26"/>
  <c r="S320" i="26"/>
  <c r="T320" i="26"/>
  <c r="U320" i="26"/>
  <c r="P321" i="26"/>
  <c r="S321" i="26"/>
  <c r="T321" i="26"/>
  <c r="U321" i="26"/>
  <c r="P322" i="26"/>
  <c r="S322" i="26"/>
  <c r="T322" i="26"/>
  <c r="U322" i="26"/>
  <c r="P323" i="26"/>
  <c r="S323" i="26"/>
  <c r="T323" i="26"/>
  <c r="U323" i="26"/>
  <c r="S324" i="26"/>
  <c r="T324" i="26"/>
  <c r="U324" i="26"/>
  <c r="P325" i="26"/>
  <c r="S325" i="26"/>
  <c r="U325" i="26"/>
  <c r="P326" i="26"/>
  <c r="S326" i="26"/>
  <c r="T326" i="26"/>
  <c r="U326" i="26"/>
  <c r="P327" i="26"/>
  <c r="S327" i="26"/>
  <c r="U327" i="26"/>
  <c r="P328" i="26"/>
  <c r="S328" i="26"/>
  <c r="T328" i="26"/>
  <c r="U328" i="26"/>
  <c r="P329" i="26"/>
  <c r="S329" i="26"/>
  <c r="T329" i="26"/>
  <c r="U329" i="26"/>
  <c r="P330" i="26"/>
  <c r="S330" i="26"/>
  <c r="T330" i="26"/>
  <c r="U330" i="26"/>
  <c r="P331" i="26"/>
  <c r="S331" i="26"/>
  <c r="T331" i="26"/>
  <c r="U331" i="26"/>
  <c r="U332" i="26"/>
  <c r="P333" i="26"/>
  <c r="S333" i="26"/>
  <c r="T333" i="26"/>
  <c r="U333" i="26"/>
  <c r="P334" i="26"/>
  <c r="S334" i="26"/>
  <c r="T334" i="26"/>
  <c r="U334" i="26"/>
  <c r="P335" i="26"/>
  <c r="S335" i="26"/>
  <c r="T335" i="26"/>
  <c r="U335" i="26"/>
  <c r="P336" i="26"/>
  <c r="S336" i="26"/>
  <c r="T336" i="26"/>
  <c r="U336" i="26"/>
  <c r="P448" i="26"/>
  <c r="Q448" i="26"/>
  <c r="R448" i="26"/>
  <c r="S448" i="26"/>
  <c r="T448" i="26"/>
  <c r="U448" i="26"/>
  <c r="U410" i="26"/>
  <c r="U411" i="26"/>
  <c r="U412" i="26"/>
  <c r="U413" i="26"/>
  <c r="U414" i="26"/>
  <c r="U415" i="26"/>
  <c r="U416" i="26"/>
  <c r="U417" i="26"/>
  <c r="U418" i="26"/>
  <c r="U419" i="26"/>
  <c r="K16" i="6"/>
  <c r="R311" i="26" s="1"/>
  <c r="K15" i="6"/>
  <c r="R310" i="26" s="1"/>
  <c r="K14" i="6"/>
  <c r="R309" i="26" s="1"/>
  <c r="K13" i="6"/>
  <c r="R308" i="26" s="1"/>
  <c r="S13" i="26"/>
  <c r="Q309" i="26" l="1"/>
  <c r="Q310" i="26"/>
  <c r="Q311" i="26"/>
  <c r="Q308" i="26"/>
  <c r="N79" i="26" l="1"/>
  <c r="N78" i="26"/>
  <c r="N77" i="26"/>
  <c r="N73" i="26"/>
  <c r="N74" i="26"/>
  <c r="N75" i="26"/>
  <c r="N72" i="26"/>
  <c r="N68" i="26"/>
  <c r="N69" i="26"/>
  <c r="N70" i="26"/>
  <c r="N67" i="26"/>
  <c r="N63" i="26"/>
  <c r="N64" i="26"/>
  <c r="N65" i="26"/>
  <c r="N62" i="26"/>
  <c r="N58" i="26"/>
  <c r="N59" i="26"/>
  <c r="N60" i="26"/>
  <c r="N57" i="26"/>
  <c r="N53" i="26"/>
  <c r="N54" i="26"/>
  <c r="N55" i="26"/>
  <c r="N52" i="26"/>
  <c r="N46" i="26"/>
  <c r="N47" i="26"/>
  <c r="N48" i="26"/>
  <c r="N45" i="26"/>
  <c r="N40" i="26"/>
  <c r="N41" i="26"/>
  <c r="N39" i="26"/>
  <c r="N7" i="26"/>
  <c r="N8" i="26"/>
  <c r="N9" i="26"/>
  <c r="N10" i="26"/>
  <c r="N11" i="26"/>
  <c r="N12" i="26"/>
  <c r="N13" i="26"/>
  <c r="N6" i="26"/>
  <c r="S403" i="26"/>
  <c r="T403" i="26"/>
  <c r="U403" i="26"/>
  <c r="S404" i="26"/>
  <c r="T404" i="26"/>
  <c r="U404" i="26"/>
  <c r="S405" i="26"/>
  <c r="T405" i="26"/>
  <c r="U405" i="26"/>
  <c r="S406" i="26"/>
  <c r="T406" i="26"/>
  <c r="U406" i="26"/>
  <c r="S407" i="26"/>
  <c r="T407" i="26"/>
  <c r="U407" i="26"/>
  <c r="S408" i="26"/>
  <c r="T408" i="26"/>
  <c r="U408" i="26"/>
  <c r="S409" i="26"/>
  <c r="T409" i="26"/>
  <c r="U409" i="26"/>
  <c r="S410" i="26"/>
  <c r="T410" i="26"/>
  <c r="S411" i="26"/>
  <c r="T411" i="26"/>
  <c r="S412" i="26"/>
  <c r="T412" i="26"/>
  <c r="S413" i="26"/>
  <c r="T413" i="26"/>
  <c r="S414" i="26"/>
  <c r="T414" i="26"/>
  <c r="S415" i="26"/>
  <c r="T415" i="26"/>
  <c r="S416" i="26"/>
  <c r="T416" i="26"/>
  <c r="S417" i="26"/>
  <c r="T417" i="26"/>
  <c r="S418" i="26"/>
  <c r="T418" i="26"/>
  <c r="S419" i="26"/>
  <c r="T419" i="26"/>
  <c r="T402" i="26"/>
  <c r="U402" i="26"/>
  <c r="S402" i="26"/>
  <c r="P406" i="26"/>
  <c r="P407" i="26"/>
  <c r="P408" i="26"/>
  <c r="P403" i="26"/>
  <c r="P404" i="26"/>
  <c r="P405" i="26"/>
  <c r="P457" i="26"/>
  <c r="U457" i="26"/>
  <c r="P458" i="26"/>
  <c r="U458" i="26"/>
  <c r="P459" i="26"/>
  <c r="U459" i="26"/>
  <c r="P460" i="26"/>
  <c r="U460" i="26"/>
  <c r="P453" i="26"/>
  <c r="U453" i="26"/>
  <c r="P454" i="26"/>
  <c r="U454" i="26"/>
  <c r="P455" i="26"/>
  <c r="U455" i="26"/>
  <c r="P456" i="26"/>
  <c r="U456" i="26"/>
  <c r="P409" i="26"/>
  <c r="P410" i="26"/>
  <c r="Q410" i="26"/>
  <c r="R410" i="26"/>
  <c r="P411" i="26"/>
  <c r="P412" i="26"/>
  <c r="P413" i="26"/>
  <c r="P414" i="26"/>
  <c r="P415" i="26"/>
  <c r="P416" i="26"/>
  <c r="P417" i="26"/>
  <c r="P418" i="26"/>
  <c r="P419" i="26"/>
  <c r="P402" i="26"/>
  <c r="P401" i="26"/>
  <c r="Q401" i="26"/>
  <c r="R401" i="26"/>
  <c r="S401" i="26"/>
  <c r="T401" i="26"/>
  <c r="U401" i="26"/>
  <c r="T348" i="26"/>
  <c r="U348" i="26"/>
  <c r="P342" i="26"/>
  <c r="S342" i="26"/>
  <c r="T342" i="26"/>
  <c r="U342" i="26"/>
  <c r="P300" i="26"/>
  <c r="S300" i="26"/>
  <c r="T300" i="26"/>
  <c r="U300" i="26"/>
  <c r="P301" i="26"/>
  <c r="S301" i="26"/>
  <c r="T301" i="26"/>
  <c r="U301" i="26"/>
  <c r="P302" i="26"/>
  <c r="S302" i="26"/>
  <c r="T302" i="26"/>
  <c r="U302" i="26"/>
  <c r="P303" i="26"/>
  <c r="S303" i="26"/>
  <c r="T303" i="26"/>
  <c r="U303" i="26"/>
  <c r="P304" i="26"/>
  <c r="S304" i="26"/>
  <c r="T304" i="26"/>
  <c r="U304" i="26"/>
  <c r="P305" i="26"/>
  <c r="S305" i="26"/>
  <c r="T305" i="26"/>
  <c r="U305" i="26"/>
  <c r="P306" i="26"/>
  <c r="S306" i="26"/>
  <c r="T306" i="26"/>
  <c r="U306" i="26"/>
  <c r="T299" i="26"/>
  <c r="U299" i="26"/>
  <c r="P299" i="26"/>
  <c r="S299" i="26"/>
  <c r="P298" i="26"/>
  <c r="S298" i="26"/>
  <c r="T298" i="26"/>
  <c r="U298" i="26"/>
  <c r="P285" i="26"/>
  <c r="S285" i="26"/>
  <c r="T285" i="26"/>
  <c r="U285" i="26"/>
  <c r="P286" i="26"/>
  <c r="S286" i="26"/>
  <c r="T286" i="26"/>
  <c r="U286" i="26"/>
  <c r="P287" i="26"/>
  <c r="S287" i="26"/>
  <c r="T287" i="26"/>
  <c r="U287" i="26"/>
  <c r="P288" i="26"/>
  <c r="S288" i="26"/>
  <c r="T288" i="26"/>
  <c r="U288" i="26"/>
  <c r="P289" i="26"/>
  <c r="S289" i="26"/>
  <c r="T289" i="26"/>
  <c r="U289" i="26"/>
  <c r="P290" i="26"/>
  <c r="S290" i="26"/>
  <c r="T290" i="26"/>
  <c r="U290" i="26"/>
  <c r="P291" i="26"/>
  <c r="S291" i="26"/>
  <c r="T291" i="26"/>
  <c r="U291" i="26"/>
  <c r="P292" i="26"/>
  <c r="S292" i="26"/>
  <c r="T292" i="26"/>
  <c r="U292" i="26"/>
  <c r="P293" i="26"/>
  <c r="S293" i="26"/>
  <c r="T293" i="26"/>
  <c r="U293" i="26"/>
  <c r="P294" i="26"/>
  <c r="S294" i="26"/>
  <c r="T294" i="26"/>
  <c r="U294" i="26"/>
  <c r="P257" i="26"/>
  <c r="S257" i="26"/>
  <c r="T257" i="26"/>
  <c r="U257" i="26"/>
  <c r="P258" i="26"/>
  <c r="S258" i="26"/>
  <c r="T258" i="26"/>
  <c r="U258" i="26"/>
  <c r="P259" i="26"/>
  <c r="S259" i="26"/>
  <c r="T259" i="26"/>
  <c r="U259" i="26"/>
  <c r="P260" i="26"/>
  <c r="Q260" i="26"/>
  <c r="R260" i="26"/>
  <c r="S260" i="26"/>
  <c r="T260" i="26"/>
  <c r="U260" i="26"/>
  <c r="P261" i="26"/>
  <c r="Q261" i="26"/>
  <c r="R261" i="26"/>
  <c r="S261" i="26"/>
  <c r="T261" i="26"/>
  <c r="U261" i="26"/>
  <c r="P262" i="26"/>
  <c r="Q262" i="26"/>
  <c r="R262" i="26"/>
  <c r="S262" i="26"/>
  <c r="T262" i="26"/>
  <c r="U262" i="26"/>
  <c r="P263" i="26"/>
  <c r="S263" i="26"/>
  <c r="T263" i="26"/>
  <c r="U263" i="26"/>
  <c r="P264" i="26"/>
  <c r="S264" i="26"/>
  <c r="T264" i="26"/>
  <c r="U264" i="26"/>
  <c r="P265" i="26"/>
  <c r="S265" i="26"/>
  <c r="T265" i="26"/>
  <c r="U265" i="26"/>
  <c r="P266" i="26"/>
  <c r="S266" i="26"/>
  <c r="T266" i="26"/>
  <c r="U266" i="26"/>
  <c r="P267" i="26"/>
  <c r="S267" i="26"/>
  <c r="T267" i="26"/>
  <c r="U267" i="26"/>
  <c r="P268" i="26"/>
  <c r="S268" i="26"/>
  <c r="T268" i="26"/>
  <c r="U268" i="26"/>
  <c r="P269" i="26"/>
  <c r="S269" i="26"/>
  <c r="T269" i="26"/>
  <c r="U269" i="26"/>
  <c r="P277" i="26"/>
  <c r="Q277" i="26"/>
  <c r="R277" i="26"/>
  <c r="S277" i="26"/>
  <c r="T277" i="26"/>
  <c r="U277" i="26"/>
  <c r="P278" i="26"/>
  <c r="S278" i="26"/>
  <c r="T278" i="26"/>
  <c r="U278" i="26"/>
  <c r="P279" i="26"/>
  <c r="Q279" i="26"/>
  <c r="R279" i="26"/>
  <c r="S279" i="26"/>
  <c r="T279" i="26"/>
  <c r="U279" i="26"/>
  <c r="P280" i="26"/>
  <c r="S280" i="26"/>
  <c r="T280" i="26"/>
  <c r="U280" i="26"/>
  <c r="P281" i="26"/>
  <c r="S281" i="26"/>
  <c r="T281" i="26"/>
  <c r="U281" i="26"/>
  <c r="P282" i="26"/>
  <c r="S282" i="26"/>
  <c r="T282" i="26"/>
  <c r="U282" i="26"/>
  <c r="P283" i="26"/>
  <c r="S283" i="26"/>
  <c r="T283" i="26"/>
  <c r="U283" i="26"/>
  <c r="P284" i="26"/>
  <c r="T256" i="26"/>
  <c r="U256" i="26"/>
  <c r="S256" i="26"/>
  <c r="P256" i="26"/>
  <c r="P244" i="26"/>
  <c r="S244" i="26"/>
  <c r="T244" i="26"/>
  <c r="U244" i="26"/>
  <c r="P245" i="26"/>
  <c r="S245" i="26"/>
  <c r="T245" i="26"/>
  <c r="U245" i="26"/>
  <c r="P246" i="26"/>
  <c r="S246" i="26"/>
  <c r="T246" i="26"/>
  <c r="U246" i="26"/>
  <c r="P247" i="26"/>
  <c r="Q247" i="26"/>
  <c r="R247" i="26"/>
  <c r="S247" i="26"/>
  <c r="T247" i="26"/>
  <c r="U247" i="26"/>
  <c r="P248" i="26"/>
  <c r="Q248" i="26"/>
  <c r="R248" i="26"/>
  <c r="S248" i="26"/>
  <c r="T248" i="26"/>
  <c r="U248" i="26"/>
  <c r="P249" i="26"/>
  <c r="S249" i="26"/>
  <c r="T249" i="26"/>
  <c r="U249" i="26"/>
  <c r="P250" i="26"/>
  <c r="S250" i="26"/>
  <c r="T250" i="26"/>
  <c r="U250" i="26"/>
  <c r="P251" i="26"/>
  <c r="Q251" i="26"/>
  <c r="R251" i="26"/>
  <c r="S251" i="26"/>
  <c r="T251" i="26"/>
  <c r="U251" i="26"/>
  <c r="P252" i="26"/>
  <c r="Q252" i="26"/>
  <c r="R252" i="26"/>
  <c r="S252" i="26"/>
  <c r="T252" i="26"/>
  <c r="U252" i="26"/>
  <c r="P253" i="26"/>
  <c r="Q253" i="26"/>
  <c r="R253" i="26"/>
  <c r="S253" i="26"/>
  <c r="T253" i="26"/>
  <c r="U253" i="26"/>
  <c r="P254" i="26"/>
  <c r="Q254" i="26"/>
  <c r="R254" i="26"/>
  <c r="S254" i="26"/>
  <c r="T254" i="26"/>
  <c r="U254" i="26"/>
  <c r="P255" i="26"/>
  <c r="Q255" i="26"/>
  <c r="R255" i="26"/>
  <c r="S255" i="26"/>
  <c r="T255" i="26"/>
  <c r="U255" i="26"/>
  <c r="T184" i="26"/>
  <c r="U184" i="26"/>
  <c r="T185" i="26"/>
  <c r="U185" i="26"/>
  <c r="T186" i="26"/>
  <c r="U186" i="26"/>
  <c r="P187" i="26"/>
  <c r="Q187" i="26"/>
  <c r="R187" i="26"/>
  <c r="S187" i="26"/>
  <c r="T187" i="26"/>
  <c r="U187" i="26"/>
  <c r="P188" i="26"/>
  <c r="Q188" i="26"/>
  <c r="R188" i="26"/>
  <c r="S188" i="26"/>
  <c r="T188" i="26"/>
  <c r="U188" i="26"/>
  <c r="P189" i="26"/>
  <c r="S189" i="26"/>
  <c r="T189" i="26"/>
  <c r="U189" i="26"/>
  <c r="P190" i="26"/>
  <c r="S190" i="26"/>
  <c r="T190" i="26"/>
  <c r="U190" i="26"/>
  <c r="P191" i="26"/>
  <c r="S191" i="26"/>
  <c r="T191" i="26"/>
  <c r="U191" i="26"/>
  <c r="P192" i="26"/>
  <c r="S192" i="26"/>
  <c r="T192" i="26"/>
  <c r="U192" i="26"/>
  <c r="P193" i="26"/>
  <c r="S193" i="26"/>
  <c r="T193" i="26"/>
  <c r="U193" i="26"/>
  <c r="P194" i="26"/>
  <c r="S194" i="26"/>
  <c r="T194" i="26"/>
  <c r="U194" i="26"/>
  <c r="P195" i="26"/>
  <c r="S195" i="26"/>
  <c r="T195" i="26"/>
  <c r="U195" i="26"/>
  <c r="P196" i="26"/>
  <c r="S196" i="26"/>
  <c r="T196" i="26"/>
  <c r="U196" i="26"/>
  <c r="P197" i="26"/>
  <c r="Q197" i="26"/>
  <c r="S197" i="26"/>
  <c r="T197" i="26"/>
  <c r="U197" i="26"/>
  <c r="P198" i="26"/>
  <c r="S198" i="26"/>
  <c r="T198" i="26"/>
  <c r="U198" i="26"/>
  <c r="P199" i="26"/>
  <c r="Q199" i="26"/>
  <c r="R199" i="26"/>
  <c r="S199" i="26"/>
  <c r="T199" i="26"/>
  <c r="U199" i="26"/>
  <c r="P200" i="26"/>
  <c r="S200" i="26"/>
  <c r="T200" i="26"/>
  <c r="U200" i="26"/>
  <c r="P201" i="26"/>
  <c r="S201" i="26"/>
  <c r="T201" i="26"/>
  <c r="U201" i="26"/>
  <c r="P202" i="26"/>
  <c r="Q202" i="26"/>
  <c r="S202" i="26"/>
  <c r="T202" i="26"/>
  <c r="U202" i="26"/>
  <c r="P203" i="26"/>
  <c r="Q203" i="26"/>
  <c r="S203" i="26"/>
  <c r="T203" i="26"/>
  <c r="U203" i="26"/>
  <c r="P210" i="26"/>
  <c r="S210" i="26"/>
  <c r="T210" i="26"/>
  <c r="U210" i="26"/>
  <c r="P211" i="26"/>
  <c r="S211" i="26"/>
  <c r="T211" i="26"/>
  <c r="U211" i="26"/>
  <c r="P212" i="26"/>
  <c r="S212" i="26"/>
  <c r="T212" i="26"/>
  <c r="U212" i="26"/>
  <c r="P213" i="26"/>
  <c r="S213" i="26"/>
  <c r="T213" i="26"/>
  <c r="U213" i="26"/>
  <c r="P214" i="26"/>
  <c r="S214" i="26"/>
  <c r="T214" i="26"/>
  <c r="U214" i="26"/>
  <c r="P215" i="26"/>
  <c r="S215" i="26"/>
  <c r="T215" i="26"/>
  <c r="U215" i="26"/>
  <c r="P216" i="26"/>
  <c r="S216" i="26"/>
  <c r="T216" i="26"/>
  <c r="U216" i="26"/>
  <c r="P217" i="26"/>
  <c r="S217" i="26"/>
  <c r="T217" i="26"/>
  <c r="U217" i="26"/>
  <c r="P218" i="26"/>
  <c r="S218" i="26"/>
  <c r="T218" i="26"/>
  <c r="U218" i="26"/>
  <c r="P219" i="26"/>
  <c r="S219" i="26"/>
  <c r="T219" i="26"/>
  <c r="U219" i="26"/>
  <c r="P220" i="26"/>
  <c r="U220" i="26"/>
  <c r="P229" i="26"/>
  <c r="Q229" i="26"/>
  <c r="S229" i="26"/>
  <c r="T229" i="26"/>
  <c r="U229" i="26"/>
  <c r="P230" i="26"/>
  <c r="Q230" i="26"/>
  <c r="S230" i="26"/>
  <c r="T230" i="26"/>
  <c r="U230" i="26"/>
  <c r="P231" i="26"/>
  <c r="S231" i="26"/>
  <c r="T231" i="26"/>
  <c r="U231" i="26"/>
  <c r="P232" i="26"/>
  <c r="S232" i="26"/>
  <c r="T232" i="26"/>
  <c r="U232" i="26"/>
  <c r="S233" i="26"/>
  <c r="T233" i="26"/>
  <c r="U233" i="26"/>
  <c r="S234" i="26"/>
  <c r="T234" i="26"/>
  <c r="U234" i="26"/>
  <c r="S235" i="26"/>
  <c r="T235" i="26"/>
  <c r="U235" i="26"/>
  <c r="P236" i="26"/>
  <c r="S236" i="26"/>
  <c r="T236" i="26"/>
  <c r="U236" i="26"/>
  <c r="P237" i="26"/>
  <c r="S237" i="26"/>
  <c r="T237" i="26"/>
  <c r="U237" i="26"/>
  <c r="P238" i="26"/>
  <c r="S238" i="26"/>
  <c r="T238" i="26"/>
  <c r="U238" i="26"/>
  <c r="P239" i="26"/>
  <c r="S239" i="26"/>
  <c r="T239" i="26"/>
  <c r="U239" i="26"/>
  <c r="P243" i="26"/>
  <c r="S243" i="26"/>
  <c r="T243" i="26"/>
  <c r="U243" i="26"/>
  <c r="P170" i="26"/>
  <c r="S170" i="26"/>
  <c r="T170" i="26"/>
  <c r="U170" i="26"/>
  <c r="P171" i="26"/>
  <c r="S171" i="26"/>
  <c r="T171" i="26"/>
  <c r="U171" i="26"/>
  <c r="P172" i="26"/>
  <c r="Q172" i="26"/>
  <c r="R172" i="26"/>
  <c r="S172" i="26"/>
  <c r="T172" i="26"/>
  <c r="U172" i="26"/>
  <c r="P173" i="26"/>
  <c r="Q173" i="26"/>
  <c r="R173" i="26"/>
  <c r="S173" i="26"/>
  <c r="T173" i="26"/>
  <c r="U173" i="26"/>
  <c r="P174" i="26"/>
  <c r="Q174" i="26"/>
  <c r="R174" i="26"/>
  <c r="S174" i="26"/>
  <c r="T174" i="26"/>
  <c r="U174" i="26"/>
  <c r="P131" i="26"/>
  <c r="S131" i="26"/>
  <c r="T131" i="26"/>
  <c r="U131" i="26"/>
  <c r="P132" i="26"/>
  <c r="S132" i="26"/>
  <c r="T132" i="26"/>
  <c r="U132" i="26"/>
  <c r="P133" i="26"/>
  <c r="S133" i="26"/>
  <c r="T133" i="26"/>
  <c r="U133" i="26"/>
  <c r="P134" i="26"/>
  <c r="S134" i="26"/>
  <c r="T134" i="26"/>
  <c r="U134" i="26"/>
  <c r="P135" i="26"/>
  <c r="S135" i="26"/>
  <c r="T135" i="26"/>
  <c r="U135" i="26"/>
  <c r="P136" i="26"/>
  <c r="S136" i="26"/>
  <c r="T136" i="26"/>
  <c r="U136" i="26"/>
  <c r="P137" i="26"/>
  <c r="S137" i="26"/>
  <c r="T137" i="26"/>
  <c r="U137" i="26"/>
  <c r="P138" i="26"/>
  <c r="S138" i="26"/>
  <c r="T138" i="26"/>
  <c r="U138" i="26"/>
  <c r="U130" i="26"/>
  <c r="P121" i="26"/>
  <c r="S121" i="26"/>
  <c r="T121" i="26"/>
  <c r="U121" i="26"/>
  <c r="P122" i="26"/>
  <c r="S122" i="26"/>
  <c r="T122" i="26"/>
  <c r="U122" i="26"/>
  <c r="P82" i="26"/>
  <c r="S82" i="26"/>
  <c r="T82" i="26"/>
  <c r="U82" i="26"/>
  <c r="P83" i="26"/>
  <c r="S83" i="26"/>
  <c r="T83" i="26"/>
  <c r="U83" i="26"/>
  <c r="P86" i="26"/>
  <c r="S86" i="26"/>
  <c r="T86" i="26"/>
  <c r="U86" i="26"/>
  <c r="P87" i="26"/>
  <c r="S87" i="26"/>
  <c r="T87" i="26"/>
  <c r="U87" i="26"/>
  <c r="P88" i="26"/>
  <c r="S88" i="26"/>
  <c r="T88" i="26"/>
  <c r="U88" i="26"/>
  <c r="S89" i="26"/>
  <c r="T89" i="26"/>
  <c r="U89" i="26"/>
  <c r="P90" i="26"/>
  <c r="S90" i="26"/>
  <c r="T90" i="26"/>
  <c r="U90" i="26"/>
  <c r="P91" i="26"/>
  <c r="S91" i="26"/>
  <c r="T91" i="26"/>
  <c r="U91" i="26"/>
  <c r="P92" i="26"/>
  <c r="S92" i="26"/>
  <c r="T92" i="26"/>
  <c r="U92" i="26"/>
  <c r="P93" i="26"/>
  <c r="S93" i="26"/>
  <c r="T93" i="26"/>
  <c r="U93" i="26"/>
  <c r="P94" i="26"/>
  <c r="S94" i="26"/>
  <c r="T94" i="26"/>
  <c r="U94" i="26"/>
  <c r="P95" i="26"/>
  <c r="S95" i="26"/>
  <c r="T95" i="26"/>
  <c r="U95" i="26"/>
  <c r="P96" i="26"/>
  <c r="S96" i="26"/>
  <c r="T96" i="26"/>
  <c r="U96" i="26"/>
  <c r="P97" i="26"/>
  <c r="S97" i="26"/>
  <c r="T97" i="26"/>
  <c r="U97" i="26"/>
  <c r="P100" i="26"/>
  <c r="S100" i="26"/>
  <c r="T100" i="26"/>
  <c r="U100" i="26"/>
  <c r="P105" i="26"/>
  <c r="S105" i="26"/>
  <c r="T105" i="26"/>
  <c r="U105" i="26"/>
  <c r="P110" i="26"/>
  <c r="Q110" i="26"/>
  <c r="R110" i="26"/>
  <c r="S110" i="26"/>
  <c r="T110" i="26"/>
  <c r="U110" i="26"/>
  <c r="P111" i="26"/>
  <c r="S111" i="26"/>
  <c r="T111" i="26"/>
  <c r="U111" i="26"/>
  <c r="P112" i="26"/>
  <c r="S112" i="26"/>
  <c r="T112" i="26"/>
  <c r="U112" i="26"/>
  <c r="P113" i="26"/>
  <c r="S113" i="26"/>
  <c r="T113" i="26"/>
  <c r="U113" i="26"/>
  <c r="P114" i="26"/>
  <c r="S114" i="26"/>
  <c r="T114" i="26"/>
  <c r="U114" i="26"/>
  <c r="P115" i="26"/>
  <c r="S115" i="26"/>
  <c r="T115" i="26"/>
  <c r="U115" i="26"/>
  <c r="P116" i="26"/>
  <c r="S116" i="26"/>
  <c r="T116" i="26"/>
  <c r="U116" i="26"/>
  <c r="P117" i="26"/>
  <c r="Q117" i="26"/>
  <c r="R117" i="26"/>
  <c r="S117" i="26"/>
  <c r="T117" i="26"/>
  <c r="U117" i="26"/>
  <c r="P118" i="26"/>
  <c r="S118" i="26"/>
  <c r="T118" i="26"/>
  <c r="U118" i="26"/>
  <c r="P119" i="26"/>
  <c r="S119" i="26"/>
  <c r="T119" i="26"/>
  <c r="U119" i="26"/>
  <c r="P120" i="26"/>
  <c r="S120" i="26"/>
  <c r="T120" i="26"/>
  <c r="U120" i="26"/>
  <c r="U81"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Q80" i="26"/>
  <c r="R80" i="26"/>
  <c r="S80" i="26"/>
  <c r="T80" i="26"/>
  <c r="U80" i="26"/>
  <c r="P80" i="26"/>
  <c r="P52" i="26"/>
  <c r="P53" i="26"/>
  <c r="P54" i="26"/>
  <c r="P55" i="26"/>
  <c r="P56" i="26"/>
  <c r="P57" i="26"/>
  <c r="P58" i="26"/>
  <c r="P59" i="26"/>
  <c r="P60" i="26"/>
  <c r="P61" i="26"/>
  <c r="P62" i="26"/>
  <c r="P63" i="26"/>
  <c r="P64" i="26"/>
  <c r="P65" i="26"/>
  <c r="P66" i="26"/>
  <c r="P67" i="26"/>
  <c r="P68" i="26"/>
  <c r="P69" i="26"/>
  <c r="P70" i="26"/>
  <c r="P71" i="26"/>
  <c r="P72" i="26"/>
  <c r="P73" i="26"/>
  <c r="P74" i="26"/>
  <c r="P75" i="26"/>
  <c r="P76" i="26"/>
  <c r="P77" i="26"/>
  <c r="P78" i="26"/>
  <c r="P43" i="26"/>
  <c r="P44" i="26"/>
  <c r="P45" i="26"/>
  <c r="P46" i="26"/>
  <c r="P47" i="26"/>
  <c r="P48" i="26"/>
  <c r="P49" i="26"/>
  <c r="P50" i="26"/>
  <c r="P51" i="26"/>
  <c r="P348" i="26" l="1"/>
  <c r="S348" i="26"/>
  <c r="S64" i="26" l="1"/>
  <c r="T64" i="26"/>
  <c r="U64" i="26"/>
  <c r="S65" i="26"/>
  <c r="T65" i="26"/>
  <c r="U65" i="26"/>
  <c r="S66" i="26"/>
  <c r="T66" i="26"/>
  <c r="U66" i="26"/>
  <c r="S67" i="26"/>
  <c r="T67" i="26"/>
  <c r="U67" i="26"/>
  <c r="S68" i="26"/>
  <c r="T68" i="26"/>
  <c r="U68" i="26"/>
  <c r="S69" i="26"/>
  <c r="T69" i="26"/>
  <c r="U69" i="26"/>
  <c r="S70" i="26"/>
  <c r="T70" i="26"/>
  <c r="U70" i="26"/>
  <c r="S71" i="26"/>
  <c r="T71" i="26"/>
  <c r="U71" i="26"/>
  <c r="S72" i="26"/>
  <c r="T72" i="26"/>
  <c r="U72" i="26"/>
  <c r="S73" i="26"/>
  <c r="T73" i="26"/>
  <c r="U73" i="26"/>
  <c r="S74" i="26"/>
  <c r="T74" i="26"/>
  <c r="U74" i="26"/>
  <c r="S75" i="26"/>
  <c r="T75" i="26"/>
  <c r="U75" i="26"/>
  <c r="S76" i="26"/>
  <c r="T76" i="26"/>
  <c r="U76" i="26"/>
  <c r="S77" i="26"/>
  <c r="T77" i="26"/>
  <c r="U77" i="26"/>
  <c r="S78" i="26"/>
  <c r="T78" i="26"/>
  <c r="U78" i="26"/>
  <c r="S43" i="26"/>
  <c r="T43" i="26"/>
  <c r="U43" i="26"/>
  <c r="S44" i="26"/>
  <c r="T44" i="26"/>
  <c r="U44" i="26"/>
  <c r="S45" i="26"/>
  <c r="T45" i="26"/>
  <c r="U45" i="26"/>
  <c r="S46" i="26"/>
  <c r="T46" i="26"/>
  <c r="U46" i="26"/>
  <c r="S47" i="26"/>
  <c r="T47" i="26"/>
  <c r="U47" i="26"/>
  <c r="S48" i="26"/>
  <c r="T48" i="26"/>
  <c r="U48" i="26"/>
  <c r="S49" i="26"/>
  <c r="T49" i="26"/>
  <c r="U49" i="26"/>
  <c r="S50" i="26"/>
  <c r="T50" i="26"/>
  <c r="U50" i="26"/>
  <c r="S51" i="26"/>
  <c r="T51" i="26"/>
  <c r="U51" i="26"/>
  <c r="S52" i="26"/>
  <c r="T52" i="26"/>
  <c r="U52" i="26"/>
  <c r="S53" i="26"/>
  <c r="T53" i="26"/>
  <c r="U53" i="26"/>
  <c r="S54" i="26"/>
  <c r="T54" i="26"/>
  <c r="U54" i="26"/>
  <c r="S55" i="26"/>
  <c r="T55" i="26"/>
  <c r="U55" i="26"/>
  <c r="S56" i="26"/>
  <c r="T56" i="26"/>
  <c r="U56" i="26"/>
  <c r="S57" i="26"/>
  <c r="T57" i="26"/>
  <c r="U57" i="26"/>
  <c r="S58" i="26"/>
  <c r="T58" i="26"/>
  <c r="U58" i="26"/>
  <c r="S59" i="26"/>
  <c r="T59" i="26"/>
  <c r="U59" i="26"/>
  <c r="S60" i="26"/>
  <c r="T60" i="26"/>
  <c r="U60" i="26"/>
  <c r="S61" i="26"/>
  <c r="T61" i="26"/>
  <c r="U61" i="26"/>
  <c r="S62" i="26"/>
  <c r="T62" i="26"/>
  <c r="U62" i="26"/>
  <c r="S63" i="26"/>
  <c r="T63" i="26"/>
  <c r="U63" i="26"/>
  <c r="U7" i="26"/>
  <c r="V7" i="26"/>
  <c r="U8" i="26"/>
  <c r="V8" i="26"/>
  <c r="U9" i="26"/>
  <c r="V9" i="26"/>
  <c r="U10" i="26"/>
  <c r="V10" i="26"/>
  <c r="U11" i="26"/>
  <c r="V11" i="26"/>
  <c r="U12" i="26"/>
  <c r="V12" i="26"/>
  <c r="U13" i="26"/>
  <c r="U6" i="26"/>
  <c r="Q460" i="26" l="1"/>
  <c r="R460" i="26" l="1"/>
  <c r="Q453" i="26"/>
  <c r="Q459" i="26"/>
  <c r="K8" i="20"/>
  <c r="K14" i="20"/>
  <c r="K21" i="8"/>
  <c r="R419" i="26" s="1"/>
  <c r="Q419" i="26"/>
  <c r="K45" i="8"/>
  <c r="R441" i="26" s="1"/>
  <c r="K13" i="8"/>
  <c r="R411" i="26" s="1"/>
  <c r="Q411" i="26"/>
  <c r="K10" i="8"/>
  <c r="R408" i="26" s="1"/>
  <c r="Q408" i="26"/>
  <c r="K20" i="8"/>
  <c r="R418" i="26" s="1"/>
  <c r="Q418" i="26"/>
  <c r="K44" i="8"/>
  <c r="R440" i="26" s="1"/>
  <c r="K59" i="8"/>
  <c r="R445" i="26" s="1"/>
  <c r="K9" i="8"/>
  <c r="R407" i="26" s="1"/>
  <c r="Q407" i="26"/>
  <c r="K18" i="8"/>
  <c r="R416" i="26" s="1"/>
  <c r="Q416" i="26"/>
  <c r="K46" i="8"/>
  <c r="R442" i="26" s="1"/>
  <c r="K55" i="8"/>
  <c r="K14" i="8"/>
  <c r="R412" i="26" s="1"/>
  <c r="Q412" i="26"/>
  <c r="K7" i="8"/>
  <c r="R405" i="26" s="1"/>
  <c r="Q405" i="26"/>
  <c r="K11" i="8"/>
  <c r="R409" i="26" s="1"/>
  <c r="Q409" i="26"/>
  <c r="K17" i="8"/>
  <c r="R415" i="26" s="1"/>
  <c r="Q415" i="26"/>
  <c r="K54" i="8"/>
  <c r="K6" i="8"/>
  <c r="R404" i="26" s="1"/>
  <c r="Q404" i="26"/>
  <c r="K16" i="8"/>
  <c r="R414" i="26" s="1"/>
  <c r="Q414" i="26"/>
  <c r="K53" i="8"/>
  <c r="K5" i="8"/>
  <c r="R403" i="26" s="1"/>
  <c r="Q403" i="26"/>
  <c r="K15" i="8"/>
  <c r="R413" i="26" s="1"/>
  <c r="Q413" i="26"/>
  <c r="K19" i="8"/>
  <c r="R417" i="26" s="1"/>
  <c r="Q417" i="26"/>
  <c r="K47" i="8"/>
  <c r="R443" i="26" s="1"/>
  <c r="K56" i="8"/>
  <c r="K4" i="8"/>
  <c r="R402" i="26" s="1"/>
  <c r="Q402" i="26"/>
  <c r="K8" i="8"/>
  <c r="R406" i="26" s="1"/>
  <c r="Q406" i="26"/>
  <c r="R453" i="26" l="1"/>
  <c r="R459" i="26"/>
  <c r="J69" i="21"/>
  <c r="J4" i="21"/>
  <c r="R343" i="26" s="1"/>
  <c r="Q348" i="26"/>
  <c r="J68" i="21"/>
  <c r="Q341" i="26"/>
  <c r="Q340" i="26"/>
  <c r="Q339" i="26"/>
  <c r="Q338" i="26"/>
  <c r="Q336" i="26"/>
  <c r="Q335" i="26"/>
  <c r="Q334" i="26"/>
  <c r="Q333" i="26"/>
  <c r="Q331" i="26"/>
  <c r="Q330" i="26"/>
  <c r="Q329" i="26"/>
  <c r="Q328" i="26"/>
  <c r="Q323" i="26"/>
  <c r="Q322" i="26"/>
  <c r="Q321" i="26"/>
  <c r="Q318" i="26"/>
  <c r="Q317" i="26"/>
  <c r="I21" i="6"/>
  <c r="Q315" i="26"/>
  <c r="Q314" i="26"/>
  <c r="P7" i="26"/>
  <c r="S7" i="26"/>
  <c r="T7" i="26"/>
  <c r="P8" i="26"/>
  <c r="S8" i="26"/>
  <c r="T8" i="26"/>
  <c r="P9" i="26"/>
  <c r="S9" i="26"/>
  <c r="T9" i="26"/>
  <c r="P10" i="26"/>
  <c r="S10" i="26"/>
  <c r="T10" i="26"/>
  <c r="P11" i="26"/>
  <c r="S11" i="26"/>
  <c r="T11" i="26"/>
  <c r="P12" i="26"/>
  <c r="S12" i="26"/>
  <c r="T12" i="26"/>
  <c r="P13" i="26"/>
  <c r="T13" i="26"/>
  <c r="V6" i="26"/>
  <c r="T6" i="26"/>
  <c r="S6" i="26"/>
  <c r="P6" i="26"/>
  <c r="T130" i="26"/>
  <c r="S130" i="26"/>
  <c r="P130" i="26"/>
  <c r="T81" i="26"/>
  <c r="S81" i="26"/>
  <c r="P81" i="26"/>
  <c r="T79" i="26"/>
  <c r="S79" i="26"/>
  <c r="P79" i="26"/>
  <c r="M6" i="26" l="1"/>
  <c r="K15" i="17"/>
  <c r="R266" i="26" s="1"/>
  <c r="Q266" i="26"/>
  <c r="K39" i="17"/>
  <c r="R282" i="26" s="1"/>
  <c r="Q282" i="26"/>
  <c r="K55" i="17"/>
  <c r="R292" i="26" s="1"/>
  <c r="Q292" i="26"/>
  <c r="K5" i="6"/>
  <c r="R300" i="26" s="1"/>
  <c r="Q300" i="26"/>
  <c r="K9" i="6"/>
  <c r="R304" i="26" s="1"/>
  <c r="Q304" i="26"/>
  <c r="K62" i="6"/>
  <c r="R328" i="26" s="1"/>
  <c r="K80" i="6"/>
  <c r="R338" i="26" s="1"/>
  <c r="K65" i="7"/>
  <c r="R239" i="26" s="1"/>
  <c r="Q239" i="26"/>
  <c r="R258" i="26"/>
  <c r="Q258" i="26"/>
  <c r="K18" i="17"/>
  <c r="R269" i="26" s="1"/>
  <c r="Q269" i="26"/>
  <c r="K46" i="17"/>
  <c r="R286" i="26" s="1"/>
  <c r="Q286" i="26"/>
  <c r="K54" i="17"/>
  <c r="R291" i="26" s="1"/>
  <c r="Q291" i="26"/>
  <c r="K4" i="6"/>
  <c r="R299" i="26" s="1"/>
  <c r="Q299" i="26"/>
  <c r="K8" i="6"/>
  <c r="R303" i="26" s="1"/>
  <c r="Q303" i="26"/>
  <c r="K27" i="6"/>
  <c r="R318" i="26" s="1"/>
  <c r="K65" i="6"/>
  <c r="R331" i="26" s="1"/>
  <c r="K83" i="6"/>
  <c r="R341" i="26" s="1"/>
  <c r="K71" i="7"/>
  <c r="R245" i="26" s="1"/>
  <c r="Q245" i="26"/>
  <c r="R259" i="26"/>
  <c r="Q259" i="26"/>
  <c r="K17" i="17"/>
  <c r="R268" i="26" s="1"/>
  <c r="Q268" i="26"/>
  <c r="K5" i="17"/>
  <c r="R256" i="26" s="1"/>
  <c r="Q256" i="26"/>
  <c r="K12" i="17"/>
  <c r="R263" i="26" s="1"/>
  <c r="Q263" i="26"/>
  <c r="K16" i="17"/>
  <c r="R267" i="26" s="1"/>
  <c r="Q267" i="26"/>
  <c r="K30" i="17"/>
  <c r="R278" i="26" s="1"/>
  <c r="Q278" i="26"/>
  <c r="K40" i="17"/>
  <c r="R283" i="26" s="1"/>
  <c r="Q283" i="26"/>
  <c r="K52" i="17"/>
  <c r="R289" i="26" s="1"/>
  <c r="Q289" i="26"/>
  <c r="K56" i="17"/>
  <c r="R293" i="26" s="1"/>
  <c r="Q293" i="26"/>
  <c r="K6" i="6"/>
  <c r="R301" i="26" s="1"/>
  <c r="Q301" i="26"/>
  <c r="K10" i="6"/>
  <c r="R305" i="26" s="1"/>
  <c r="Q305" i="26"/>
  <c r="K21" i="6"/>
  <c r="K33" i="6"/>
  <c r="R321" i="26" s="1"/>
  <c r="K47" i="6"/>
  <c r="K63" i="6"/>
  <c r="R329" i="26" s="1"/>
  <c r="K72" i="6"/>
  <c r="R334" i="26" s="1"/>
  <c r="K81" i="6"/>
  <c r="R339" i="26" s="1"/>
  <c r="K75" i="7"/>
  <c r="R249" i="26" s="1"/>
  <c r="Q249" i="26"/>
  <c r="K69" i="7"/>
  <c r="R243" i="26" s="1"/>
  <c r="Q243" i="26"/>
  <c r="R257" i="26"/>
  <c r="Q257" i="26"/>
  <c r="K51" i="17"/>
  <c r="R288" i="26" s="1"/>
  <c r="Q288" i="26"/>
  <c r="K20" i="6"/>
  <c r="R315" i="26" s="1"/>
  <c r="K40" i="6"/>
  <c r="K71" i="6"/>
  <c r="R333" i="26" s="1"/>
  <c r="R250" i="26"/>
  <c r="Q250" i="26"/>
  <c r="K72" i="7"/>
  <c r="R246" i="26" s="1"/>
  <c r="Q246" i="26"/>
  <c r="K14" i="17"/>
  <c r="R265" i="26" s="1"/>
  <c r="Q265" i="26"/>
  <c r="K38" i="17"/>
  <c r="R281" i="26" s="1"/>
  <c r="Q281" i="26"/>
  <c r="K19" i="6"/>
  <c r="R314" i="26" s="1"/>
  <c r="K35" i="6"/>
  <c r="R323" i="26" s="1"/>
  <c r="K74" i="6"/>
  <c r="R336" i="26" s="1"/>
  <c r="K64" i="7"/>
  <c r="R238" i="26" s="1"/>
  <c r="Q238" i="26"/>
  <c r="K13" i="17"/>
  <c r="R264" i="26" s="1"/>
  <c r="Q264" i="26"/>
  <c r="K37" i="17"/>
  <c r="R280" i="26" s="1"/>
  <c r="Q280" i="26"/>
  <c r="K45" i="17"/>
  <c r="R285" i="26" s="1"/>
  <c r="Q285" i="26"/>
  <c r="K53" i="17"/>
  <c r="R290" i="26" s="1"/>
  <c r="Q290" i="26"/>
  <c r="K57" i="17"/>
  <c r="R294" i="26" s="1"/>
  <c r="Q294" i="26"/>
  <c r="K7" i="6"/>
  <c r="R302" i="26" s="1"/>
  <c r="Q302" i="26"/>
  <c r="K11" i="6"/>
  <c r="R306" i="26" s="1"/>
  <c r="Q306" i="26"/>
  <c r="K26" i="6"/>
  <c r="R317" i="26" s="1"/>
  <c r="K34" i="6"/>
  <c r="R322" i="26" s="1"/>
  <c r="K55" i="6"/>
  <c r="K64" i="6"/>
  <c r="R330" i="26" s="1"/>
  <c r="K73" i="6"/>
  <c r="R335" i="26" s="1"/>
  <c r="K82" i="6"/>
  <c r="R340" i="26" s="1"/>
  <c r="K70" i="7"/>
  <c r="R244" i="26" s="1"/>
  <c r="Q244" i="26"/>
  <c r="M7" i="26" l="1"/>
  <c r="M8" i="26" s="1"/>
  <c r="M9" i="26" s="1"/>
  <c r="M10" i="26" s="1"/>
  <c r="M11" i="26" s="1"/>
  <c r="M12" i="26" s="1"/>
  <c r="M13" i="26" s="1"/>
  <c r="M14" i="26" s="1"/>
  <c r="M15" i="26" s="1"/>
  <c r="M16" i="26" s="1"/>
  <c r="M17" i="26" s="1"/>
  <c r="M18" i="26" s="1"/>
  <c r="M19" i="26" s="1"/>
  <c r="M20" i="26" s="1"/>
  <c r="M21" i="26" s="1"/>
  <c r="M22" i="26" s="1"/>
  <c r="M23" i="26" s="1"/>
  <c r="M24" i="26" s="1"/>
  <c r="M25" i="26" s="1"/>
  <c r="M26" i="26" s="1"/>
  <c r="M27" i="26" s="1"/>
  <c r="M28" i="26" s="1"/>
  <c r="M29" i="26" s="1"/>
  <c r="M30" i="26" s="1"/>
  <c r="Q189" i="26"/>
  <c r="Q190" i="26"/>
  <c r="Q195" i="26"/>
  <c r="Q196" i="26"/>
  <c r="Q198" i="26"/>
  <c r="Q200" i="26"/>
  <c r="Q201" i="26"/>
  <c r="Q210" i="26"/>
  <c r="Q211" i="26"/>
  <c r="Q212" i="26"/>
  <c r="Q213" i="26"/>
  <c r="Q214" i="26"/>
  <c r="Q215" i="26"/>
  <c r="Q216" i="26"/>
  <c r="Q217" i="26"/>
  <c r="Q218" i="26"/>
  <c r="Q219" i="26"/>
  <c r="Q231" i="26"/>
  <c r="Q232" i="26"/>
  <c r="M31" i="26" l="1"/>
  <c r="M32" i="26" s="1"/>
  <c r="M33" i="26" s="1"/>
  <c r="M34" i="26" s="1"/>
  <c r="M35" i="26" s="1"/>
  <c r="M36" i="26" s="1"/>
  <c r="M37" i="26" s="1"/>
  <c r="M38" i="26" s="1"/>
  <c r="M39" i="26" s="1"/>
  <c r="M40" i="26" s="1"/>
  <c r="M41" i="26" s="1"/>
  <c r="M42" i="26" s="1"/>
  <c r="M43" i="26" s="1"/>
  <c r="M44" i="26" s="1"/>
  <c r="M45" i="26" s="1"/>
  <c r="M46" i="26" s="1"/>
  <c r="M47" i="26" s="1"/>
  <c r="M48" i="26" s="1"/>
  <c r="M49" i="26" s="1"/>
  <c r="M50" i="26" s="1"/>
  <c r="M51" i="26" s="1"/>
  <c r="M52" i="26" s="1"/>
  <c r="M53" i="26" s="1"/>
  <c r="M54" i="26" s="1"/>
  <c r="M55" i="26" s="1"/>
  <c r="M56" i="26" s="1"/>
  <c r="M57" i="26" s="1"/>
  <c r="M58" i="26" s="1"/>
  <c r="M59" i="26" s="1"/>
  <c r="M60" i="26" s="1"/>
  <c r="M61" i="26" s="1"/>
  <c r="M62" i="26" s="1"/>
  <c r="M63" i="26" s="1"/>
  <c r="M64" i="26" s="1"/>
  <c r="M65" i="26" s="1"/>
  <c r="M66" i="26" s="1"/>
  <c r="M67" i="26" s="1"/>
  <c r="M68" i="26" s="1"/>
  <c r="M69" i="26" s="1"/>
  <c r="M70" i="26" s="1"/>
  <c r="M71" i="26" s="1"/>
  <c r="M72" i="26" s="1"/>
  <c r="M73" i="26" s="1"/>
  <c r="M74" i="26" s="1"/>
  <c r="M75" i="26" s="1"/>
  <c r="M76" i="26" s="1"/>
  <c r="M77" i="26" s="1"/>
  <c r="M78" i="26" s="1"/>
  <c r="M79" i="26" s="1"/>
  <c r="M80" i="26" s="1"/>
  <c r="M81" i="26" s="1"/>
  <c r="M82" i="26" s="1"/>
  <c r="M83" i="26" s="1"/>
  <c r="M84" i="26" s="1"/>
  <c r="M85" i="26" s="1"/>
  <c r="M86" i="26" s="1"/>
  <c r="M87" i="26" s="1"/>
  <c r="M88" i="26" s="1"/>
  <c r="M89" i="26" s="1"/>
  <c r="M90" i="26" s="1"/>
  <c r="M91" i="26" s="1"/>
  <c r="M92" i="26" s="1"/>
  <c r="M93" i="26" s="1"/>
  <c r="M94" i="26" s="1"/>
  <c r="M95" i="26" s="1"/>
  <c r="M96" i="26" s="1"/>
  <c r="M97" i="26" s="1"/>
  <c r="M98" i="26" s="1"/>
  <c r="M99" i="26" s="1"/>
  <c r="M100" i="26" s="1"/>
  <c r="M101" i="26" s="1"/>
  <c r="M102" i="26" s="1"/>
  <c r="M103" i="26" s="1"/>
  <c r="M104" i="26" s="1"/>
  <c r="M105" i="26" s="1"/>
  <c r="M106" i="26" s="1"/>
  <c r="M107" i="26" s="1"/>
  <c r="M108" i="26" s="1"/>
  <c r="M109" i="26" s="1"/>
  <c r="M110" i="26" s="1"/>
  <c r="M111" i="26" s="1"/>
  <c r="M112" i="26" s="1"/>
  <c r="M113" i="26" s="1"/>
  <c r="M114" i="26" s="1"/>
  <c r="M115" i="26" s="1"/>
  <c r="M116" i="26" s="1"/>
  <c r="M117" i="26" s="1"/>
  <c r="M118" i="26" s="1"/>
  <c r="M119" i="26" s="1"/>
  <c r="M120" i="26" s="1"/>
  <c r="M121" i="26" s="1"/>
  <c r="M122" i="26" s="1"/>
  <c r="M123" i="26" s="1"/>
  <c r="K4" i="7"/>
  <c r="R183" i="26" s="1"/>
  <c r="K5" i="7"/>
  <c r="R184" i="26" s="1"/>
  <c r="K56" i="7"/>
  <c r="R230" i="26" s="1"/>
  <c r="K34" i="7"/>
  <c r="R213" i="26" s="1"/>
  <c r="K19" i="7"/>
  <c r="R198" i="26" s="1"/>
  <c r="K39" i="7"/>
  <c r="R218" i="26" s="1"/>
  <c r="K31" i="7"/>
  <c r="R210" i="26" s="1"/>
  <c r="K21" i="7"/>
  <c r="R200" i="26" s="1"/>
  <c r="K16" i="7"/>
  <c r="R195" i="26" s="1"/>
  <c r="K6" i="7"/>
  <c r="R185" i="26" s="1"/>
  <c r="K58" i="7"/>
  <c r="R232" i="26" s="1"/>
  <c r="K40" i="7"/>
  <c r="R219" i="26" s="1"/>
  <c r="K36" i="7"/>
  <c r="R215" i="26" s="1"/>
  <c r="K32" i="7"/>
  <c r="R211" i="26" s="1"/>
  <c r="K22" i="7"/>
  <c r="R201" i="26" s="1"/>
  <c r="K17" i="7"/>
  <c r="R196" i="26" s="1"/>
  <c r="K7" i="7"/>
  <c r="R186" i="26" s="1"/>
  <c r="K11" i="7"/>
  <c r="R190" i="26" s="1"/>
  <c r="K38" i="7"/>
  <c r="R217" i="26" s="1"/>
  <c r="K24" i="7"/>
  <c r="R203" i="26" s="1"/>
  <c r="K57" i="7"/>
  <c r="R231" i="26" s="1"/>
  <c r="K35" i="7"/>
  <c r="R214" i="26" s="1"/>
  <c r="K55" i="7"/>
  <c r="R229" i="26" s="1"/>
  <c r="K37" i="7"/>
  <c r="R216" i="26" s="1"/>
  <c r="K33" i="7"/>
  <c r="R212" i="26" s="1"/>
  <c r="K23" i="7"/>
  <c r="R202" i="26" s="1"/>
  <c r="K18" i="7"/>
  <c r="R197" i="26" s="1"/>
  <c r="K10" i="7"/>
  <c r="R189" i="26" s="1"/>
  <c r="M124" i="26" l="1"/>
  <c r="M125" i="26" s="1"/>
  <c r="M126" i="26" s="1"/>
  <c r="M127" i="26" s="1"/>
  <c r="M128" i="26" s="1"/>
  <c r="M129" i="26" s="1"/>
  <c r="M130" i="26" s="1"/>
  <c r="M131" i="26" s="1"/>
  <c r="M132" i="26" s="1"/>
  <c r="M133" i="26" s="1"/>
  <c r="M134" i="26" s="1"/>
  <c r="M135" i="26" s="1"/>
  <c r="M136" i="26" s="1"/>
  <c r="M137" i="26" s="1"/>
  <c r="M138" i="26" s="1"/>
  <c r="M139" i="26" s="1"/>
  <c r="M140" i="26" s="1"/>
  <c r="M141" i="26" s="1"/>
  <c r="M142" i="26" s="1"/>
  <c r="M143" i="26" s="1"/>
  <c r="M144" i="26" s="1"/>
  <c r="M145" i="26" s="1"/>
  <c r="M146" i="26" s="1"/>
  <c r="M147" i="26" s="1"/>
  <c r="M148" i="26" s="1"/>
  <c r="M149" i="26" s="1"/>
  <c r="M150" i="26" s="1"/>
  <c r="M151" i="26" s="1"/>
  <c r="M152" i="26" s="1"/>
  <c r="M153" i="26" s="1"/>
  <c r="M154" i="26" s="1"/>
  <c r="M155" i="26" s="1"/>
  <c r="M156" i="26" s="1"/>
  <c r="M157" i="26" s="1"/>
  <c r="M158" i="26" s="1"/>
  <c r="M159" i="26" s="1"/>
  <c r="M160" i="26" s="1"/>
  <c r="M161" i="26" s="1"/>
  <c r="M162" i="26" s="1"/>
  <c r="M163" i="26" s="1"/>
  <c r="M164" i="26" s="1"/>
  <c r="M165" i="26" s="1"/>
  <c r="M166" i="26" s="1"/>
  <c r="M167" i="26" s="1"/>
  <c r="M168" i="26" s="1"/>
  <c r="M169" i="26" s="1"/>
  <c r="M170" i="26" s="1"/>
  <c r="M171" i="26" s="1"/>
  <c r="M172" i="26" s="1"/>
  <c r="M173" i="26" s="1"/>
  <c r="M174" i="26" s="1"/>
  <c r="M175" i="26" s="1"/>
  <c r="M176" i="26" s="1"/>
  <c r="M177" i="26" s="1"/>
  <c r="M178" i="26" s="1"/>
  <c r="M179" i="26" s="1"/>
  <c r="M180" i="26" s="1"/>
  <c r="M181" i="26" s="1"/>
  <c r="M182" i="26" s="1"/>
  <c r="M183" i="26" s="1"/>
  <c r="M184" i="26" s="1"/>
  <c r="M185" i="26" s="1"/>
  <c r="M186" i="26" s="1"/>
  <c r="M187" i="26" s="1"/>
  <c r="M188" i="26" s="1"/>
  <c r="M189" i="26" s="1"/>
  <c r="M190" i="26" s="1"/>
  <c r="M191" i="26" s="1"/>
  <c r="M192" i="26" s="1"/>
  <c r="M193" i="26" s="1"/>
  <c r="M194" i="26" s="1"/>
  <c r="M195" i="26" s="1"/>
  <c r="M196" i="26" s="1"/>
  <c r="M197" i="26" s="1"/>
  <c r="M198" i="26" s="1"/>
  <c r="M199" i="26" s="1"/>
  <c r="M200" i="26" s="1"/>
  <c r="M201" i="26" s="1"/>
  <c r="M202" i="26" s="1"/>
  <c r="M203" i="26" s="1"/>
  <c r="M204" i="26" s="1"/>
  <c r="M205" i="26" s="1"/>
  <c r="M206" i="26" s="1"/>
  <c r="M207" i="26" s="1"/>
  <c r="M208" i="26" s="1"/>
  <c r="M209" i="26" s="1"/>
  <c r="M210" i="26" s="1"/>
  <c r="M211" i="26" s="1"/>
  <c r="M212" i="26" s="1"/>
  <c r="M213" i="26" s="1"/>
  <c r="Q83" i="26"/>
  <c r="Q88" i="26"/>
  <c r="Q92" i="26"/>
  <c r="Q93" i="26"/>
  <c r="Q94" i="26"/>
  <c r="Q95" i="26"/>
  <c r="Q96" i="26"/>
  <c r="Q97" i="26"/>
  <c r="Q105" i="26"/>
  <c r="Q113" i="26"/>
  <c r="Q114" i="26"/>
  <c r="Q118" i="26"/>
  <c r="Q131" i="26"/>
  <c r="Q132" i="26"/>
  <c r="Q133" i="26"/>
  <c r="Q134" i="26"/>
  <c r="Q135" i="26"/>
  <c r="Q136" i="26"/>
  <c r="Q137" i="26"/>
  <c r="Q138" i="26"/>
  <c r="Q170" i="26"/>
  <c r="Q171" i="26"/>
  <c r="M214" i="26" l="1"/>
  <c r="M215" i="26" s="1"/>
  <c r="M216" i="26" s="1"/>
  <c r="M217" i="26" s="1"/>
  <c r="M218" i="26" s="1"/>
  <c r="M219" i="26" s="1"/>
  <c r="M220" i="26" s="1"/>
  <c r="M221" i="26" s="1"/>
  <c r="M222" i="26" s="1"/>
  <c r="M223" i="26" s="1"/>
  <c r="M224" i="26" s="1"/>
  <c r="M225" i="26" s="1"/>
  <c r="M226" i="26" s="1"/>
  <c r="M227" i="26" s="1"/>
  <c r="M228" i="26" s="1"/>
  <c r="M229" i="26" s="1"/>
  <c r="M230" i="26" s="1"/>
  <c r="M231" i="26" s="1"/>
  <c r="M232" i="26" s="1"/>
  <c r="M233" i="26" s="1"/>
  <c r="M234" i="26" s="1"/>
  <c r="M235" i="26" s="1"/>
  <c r="M236" i="26" s="1"/>
  <c r="M237" i="26" s="1"/>
  <c r="M238" i="26" s="1"/>
  <c r="M239" i="26" s="1"/>
  <c r="M240" i="26" s="1"/>
  <c r="M241" i="26" s="1"/>
  <c r="M242" i="26" s="1"/>
  <c r="M243" i="26" s="1"/>
  <c r="M244" i="26" s="1"/>
  <c r="M245" i="26" s="1"/>
  <c r="M246" i="26" s="1"/>
  <c r="M247" i="26" s="1"/>
  <c r="M248" i="26" s="1"/>
  <c r="M249" i="26" s="1"/>
  <c r="M250" i="26" s="1"/>
  <c r="M251" i="26" s="1"/>
  <c r="M252" i="26" s="1"/>
  <c r="M253" i="26" s="1"/>
  <c r="M254" i="26" s="1"/>
  <c r="M255" i="26" s="1"/>
  <c r="M256" i="26" s="1"/>
  <c r="M257" i="26" s="1"/>
  <c r="M258" i="26" s="1"/>
  <c r="M259" i="26" s="1"/>
  <c r="M260" i="26" s="1"/>
  <c r="M261" i="26" s="1"/>
  <c r="M262" i="26" s="1"/>
  <c r="M263" i="26" s="1"/>
  <c r="M264" i="26" s="1"/>
  <c r="M265" i="26" s="1"/>
  <c r="M266" i="26" s="1"/>
  <c r="M267" i="26" s="1"/>
  <c r="M268" i="26" s="1"/>
  <c r="M269" i="26" s="1"/>
  <c r="M270" i="26" s="1"/>
  <c r="M271" i="26" s="1"/>
  <c r="M272" i="26" s="1"/>
  <c r="M273" i="26" s="1"/>
  <c r="M274" i="26" s="1"/>
  <c r="M275" i="26" s="1"/>
  <c r="M276" i="26" s="1"/>
  <c r="M277" i="26" s="1"/>
  <c r="M278" i="26" s="1"/>
  <c r="M279" i="26" s="1"/>
  <c r="M280" i="26" s="1"/>
  <c r="M281" i="26" s="1"/>
  <c r="M282" i="26" s="1"/>
  <c r="M283" i="26" s="1"/>
  <c r="M284" i="26" s="1"/>
  <c r="M285" i="26" s="1"/>
  <c r="M286" i="26" s="1"/>
  <c r="M287" i="26" s="1"/>
  <c r="M288" i="26" s="1"/>
  <c r="M289" i="26" s="1"/>
  <c r="M290" i="26" s="1"/>
  <c r="M291" i="26" s="1"/>
  <c r="M292" i="26" s="1"/>
  <c r="M293" i="26" s="1"/>
  <c r="M294" i="26" s="1"/>
  <c r="M295" i="26" s="1"/>
  <c r="M296" i="26" s="1"/>
  <c r="M297" i="26" s="1"/>
  <c r="M298" i="26" s="1"/>
  <c r="M299" i="26" s="1"/>
  <c r="M300" i="26" s="1"/>
  <c r="M301" i="26" s="1"/>
  <c r="M302" i="26" s="1"/>
  <c r="M303" i="26" s="1"/>
  <c r="M304" i="26" s="1"/>
  <c r="M305" i="26" s="1"/>
  <c r="M306" i="26" s="1"/>
  <c r="M307" i="26" s="1"/>
  <c r="M308" i="26" s="1"/>
  <c r="M309" i="26" s="1"/>
  <c r="M310" i="26" s="1"/>
  <c r="M311" i="26" s="1"/>
  <c r="M312" i="26" s="1"/>
  <c r="M313" i="26" s="1"/>
  <c r="M314" i="26" s="1"/>
  <c r="M315" i="26" s="1"/>
  <c r="M316" i="26" s="1"/>
  <c r="M317" i="26" s="1"/>
  <c r="M318" i="26" s="1"/>
  <c r="M319" i="26" s="1"/>
  <c r="M320" i="26" s="1"/>
  <c r="M321" i="26" s="1"/>
  <c r="M322" i="26" s="1"/>
  <c r="M323" i="26" s="1"/>
  <c r="M324" i="26" s="1"/>
  <c r="M325" i="26" s="1"/>
  <c r="Q122" i="26"/>
  <c r="R122" i="26"/>
  <c r="R119" i="26"/>
  <c r="R120" i="26"/>
  <c r="R115" i="26"/>
  <c r="Q115" i="26"/>
  <c r="R111" i="26"/>
  <c r="Q111" i="26"/>
  <c r="R86" i="26"/>
  <c r="R121" i="26"/>
  <c r="Q121" i="26"/>
  <c r="R116" i="26"/>
  <c r="Q116" i="26"/>
  <c r="R112" i="26"/>
  <c r="Q112" i="26"/>
  <c r="R87" i="26"/>
  <c r="Q87" i="26"/>
  <c r="R82" i="26"/>
  <c r="Q82" i="26"/>
  <c r="Q130" i="26"/>
  <c r="Q81" i="26"/>
  <c r="R95" i="26"/>
  <c r="R96" i="26"/>
  <c r="R118" i="26"/>
  <c r="R113" i="26"/>
  <c r="R97" i="26"/>
  <c r="R88" i="26"/>
  <c r="R83" i="26"/>
  <c r="R93" i="26"/>
  <c r="R114" i="26"/>
  <c r="R94" i="26"/>
  <c r="R92" i="26"/>
  <c r="R81" i="26"/>
  <c r="K51" i="16"/>
  <c r="R170" i="26" s="1"/>
  <c r="K27" i="16"/>
  <c r="R153" i="26" s="1"/>
  <c r="K24" i="16"/>
  <c r="R150" i="26" s="1"/>
  <c r="K5" i="16"/>
  <c r="R131" i="26" s="1"/>
  <c r="K58" i="16"/>
  <c r="R177" i="26" s="1"/>
  <c r="K29" i="16"/>
  <c r="R155" i="26" s="1"/>
  <c r="K25" i="16"/>
  <c r="R151" i="26" s="1"/>
  <c r="K10" i="16"/>
  <c r="R136" i="26" s="1"/>
  <c r="K6" i="16"/>
  <c r="R132" i="26" s="1"/>
  <c r="K12" i="16"/>
  <c r="R138" i="26" s="1"/>
  <c r="K4" i="16"/>
  <c r="K31" i="16"/>
  <c r="R157" i="26" s="1"/>
  <c r="K52" i="16"/>
  <c r="R171" i="26" s="1"/>
  <c r="K28" i="16"/>
  <c r="R154" i="26" s="1"/>
  <c r="K9" i="16"/>
  <c r="R135" i="26" s="1"/>
  <c r="K59" i="16"/>
  <c r="R178" i="26" s="1"/>
  <c r="K30" i="16"/>
  <c r="R156" i="26" s="1"/>
  <c r="K26" i="16"/>
  <c r="R152" i="26" s="1"/>
  <c r="K11" i="16"/>
  <c r="R137" i="26" s="1"/>
  <c r="K7" i="16"/>
  <c r="R133" i="26" s="1"/>
  <c r="K8" i="16"/>
  <c r="R134" i="26" s="1"/>
  <c r="Q28" i="26"/>
  <c r="Q27" i="26"/>
  <c r="Q26" i="26"/>
  <c r="Q29" i="26"/>
  <c r="Q79" i="26"/>
  <c r="Q75" i="26"/>
  <c r="Q74" i="26"/>
  <c r="Q73" i="26"/>
  <c r="Q72" i="26"/>
  <c r="Q70" i="26"/>
  <c r="Q69" i="26"/>
  <c r="Q65" i="26"/>
  <c r="Q64" i="26"/>
  <c r="Q63" i="26"/>
  <c r="Q62" i="26"/>
  <c r="Q60" i="26"/>
  <c r="Q59" i="26"/>
  <c r="Q55" i="26"/>
  <c r="Q54" i="26"/>
  <c r="Q53" i="26"/>
  <c r="Q52" i="26"/>
  <c r="Q48" i="26"/>
  <c r="Q47" i="26"/>
  <c r="Q24" i="26"/>
  <c r="Q23" i="26"/>
  <c r="M326" i="26" l="1"/>
  <c r="M327" i="26" s="1"/>
  <c r="M328" i="26" s="1"/>
  <c r="M329" i="26" s="1"/>
  <c r="M330" i="26" s="1"/>
  <c r="M331" i="26" s="1"/>
  <c r="M332" i="26" s="1"/>
  <c r="M333" i="26" s="1"/>
  <c r="M334" i="26" s="1"/>
  <c r="M335" i="26" s="1"/>
  <c r="M336" i="26" s="1"/>
  <c r="M337" i="26" s="1"/>
  <c r="M338" i="26" s="1"/>
  <c r="M339" i="26" s="1"/>
  <c r="M340" i="26" s="1"/>
  <c r="M341" i="26" s="1"/>
  <c r="M342" i="26" s="1"/>
  <c r="M343" i="26" s="1"/>
  <c r="R105" i="26"/>
  <c r="K5" i="4"/>
  <c r="R7" i="26" s="1"/>
  <c r="Q7" i="26"/>
  <c r="K9" i="4"/>
  <c r="Q11" i="26"/>
  <c r="K23" i="4"/>
  <c r="R24" i="26" s="1"/>
  <c r="R6" i="26"/>
  <c r="Q6" i="26"/>
  <c r="K8" i="4"/>
  <c r="Q10" i="26"/>
  <c r="K22" i="4"/>
  <c r="R23" i="26" s="1"/>
  <c r="K7" i="4"/>
  <c r="R9" i="26" s="1"/>
  <c r="Q9" i="26"/>
  <c r="K11" i="4"/>
  <c r="Q13" i="26"/>
  <c r="K14" i="4"/>
  <c r="R16" i="26" s="1"/>
  <c r="K6" i="4"/>
  <c r="R8" i="26" s="1"/>
  <c r="Q8" i="26"/>
  <c r="K10" i="4"/>
  <c r="Q12" i="26"/>
  <c r="K15" i="4"/>
  <c r="R17" i="26" s="1"/>
  <c r="R130" i="26"/>
  <c r="K23" i="5"/>
  <c r="R46" i="26" s="1"/>
  <c r="K35" i="5"/>
  <c r="R58" i="26" s="1"/>
  <c r="K47" i="5"/>
  <c r="R68" i="26" s="1"/>
  <c r="K52" i="5"/>
  <c r="R73" i="26" s="1"/>
  <c r="K4" i="5"/>
  <c r="R26" i="26" s="1"/>
  <c r="K19" i="5"/>
  <c r="R41" i="26" s="1"/>
  <c r="K41" i="5"/>
  <c r="R62" i="26" s="1"/>
  <c r="K56" i="5"/>
  <c r="R77" i="26" s="1"/>
  <c r="K7" i="5"/>
  <c r="R29" i="26" s="1"/>
  <c r="K10" i="5"/>
  <c r="R32" i="26" s="1"/>
  <c r="K22" i="5"/>
  <c r="R45" i="26" s="1"/>
  <c r="K18" i="5"/>
  <c r="R40" i="26" s="1"/>
  <c r="K25" i="5"/>
  <c r="R48" i="26" s="1"/>
  <c r="K32" i="5"/>
  <c r="R55" i="26" s="1"/>
  <c r="K37" i="5"/>
  <c r="R60" i="26" s="1"/>
  <c r="K44" i="5"/>
  <c r="R65" i="26" s="1"/>
  <c r="K49" i="5"/>
  <c r="R70" i="26" s="1"/>
  <c r="K54" i="5"/>
  <c r="R75" i="26" s="1"/>
  <c r="K11" i="5"/>
  <c r="R33" i="26" s="1"/>
  <c r="K6" i="5"/>
  <c r="R28" i="26" s="1"/>
  <c r="K16" i="5"/>
  <c r="R38" i="26" s="1"/>
  <c r="K30" i="5"/>
  <c r="R53" i="26" s="1"/>
  <c r="K42" i="5"/>
  <c r="R63" i="26" s="1"/>
  <c r="K57" i="5"/>
  <c r="R78" i="26" s="1"/>
  <c r="K29" i="5"/>
  <c r="R52" i="26" s="1"/>
  <c r="K34" i="5"/>
  <c r="R57" i="26" s="1"/>
  <c r="K46" i="5"/>
  <c r="R67" i="26" s="1"/>
  <c r="K51" i="5"/>
  <c r="R72" i="26" s="1"/>
  <c r="K17" i="5"/>
  <c r="R39" i="26" s="1"/>
  <c r="K24" i="5"/>
  <c r="R47" i="26" s="1"/>
  <c r="K31" i="5"/>
  <c r="R54" i="26" s="1"/>
  <c r="K36" i="5"/>
  <c r="R59" i="26" s="1"/>
  <c r="K43" i="5"/>
  <c r="R64" i="26" s="1"/>
  <c r="K48" i="5"/>
  <c r="R69" i="26" s="1"/>
  <c r="K53" i="5"/>
  <c r="R74" i="26" s="1"/>
  <c r="K58" i="5"/>
  <c r="K5" i="5"/>
  <c r="R27" i="26" s="1"/>
  <c r="K13" i="5"/>
  <c r="R35" i="26" s="1"/>
  <c r="M344" i="26" l="1"/>
  <c r="M345" i="26" s="1"/>
  <c r="M346" i="26" s="1"/>
  <c r="M347" i="26" s="1"/>
  <c r="M348" i="26" s="1"/>
  <c r="M349" i="26" s="1"/>
  <c r="M352" i="26" s="1"/>
  <c r="M353" i="26" s="1"/>
  <c r="M354" i="26" s="1"/>
  <c r="M355" i="26" s="1"/>
  <c r="M356" i="26" s="1"/>
  <c r="M357" i="26" s="1"/>
  <c r="M358" i="26" s="1"/>
  <c r="M359" i="26" s="1"/>
  <c r="M360" i="26" s="1"/>
  <c r="M361" i="26" s="1"/>
  <c r="M362" i="26" s="1"/>
  <c r="M363" i="26" s="1"/>
  <c r="M364" i="26" s="1"/>
  <c r="M365" i="26" s="1"/>
  <c r="M366" i="26" s="1"/>
  <c r="M367" i="26" s="1"/>
  <c r="M368" i="26" s="1"/>
  <c r="M369" i="26" s="1"/>
  <c r="M370" i="26" s="1"/>
  <c r="M371" i="26" s="1"/>
  <c r="M372" i="26" s="1"/>
  <c r="M373" i="26" s="1"/>
  <c r="M374" i="26" s="1"/>
  <c r="M375" i="26" s="1"/>
  <c r="M376" i="26" s="1"/>
  <c r="M377" i="26" s="1"/>
  <c r="M378" i="26" s="1"/>
  <c r="M379" i="26" s="1"/>
  <c r="M380" i="26" s="1"/>
  <c r="M381" i="26" s="1"/>
  <c r="M382" i="26" s="1"/>
  <c r="M383" i="26" s="1"/>
  <c r="M384" i="26" s="1"/>
  <c r="M385" i="26" s="1"/>
  <c r="M386" i="26" s="1"/>
  <c r="M387" i="26" s="1"/>
  <c r="M388" i="26" s="1"/>
  <c r="M389" i="26" s="1"/>
  <c r="M390" i="26" s="1"/>
  <c r="M391" i="26" s="1"/>
  <c r="M392" i="26" s="1"/>
  <c r="M393" i="26" s="1"/>
  <c r="M394" i="26" s="1"/>
  <c r="M395" i="26" s="1"/>
  <c r="M396" i="26" s="1"/>
  <c r="M397" i="26" s="1"/>
  <c r="M398" i="26" s="1"/>
  <c r="M399" i="26" s="1"/>
  <c r="M400" i="26" s="1"/>
  <c r="M401" i="26" s="1"/>
  <c r="M402" i="26" s="1"/>
  <c r="M403" i="26" s="1"/>
  <c r="M404" i="26" s="1"/>
  <c r="M405" i="26" s="1"/>
  <c r="M406" i="26" s="1"/>
  <c r="M407" i="26" s="1"/>
  <c r="M408" i="26" s="1"/>
  <c r="M409" i="26" s="1"/>
  <c r="M410" i="26" s="1"/>
  <c r="M411" i="26" s="1"/>
  <c r="M412" i="26" s="1"/>
  <c r="M413" i="26" s="1"/>
  <c r="M414" i="26" s="1"/>
  <c r="M415" i="26" s="1"/>
  <c r="M416" i="26" s="1"/>
  <c r="M417" i="26" s="1"/>
  <c r="M418" i="26" s="1"/>
  <c r="M419" i="26" s="1"/>
  <c r="M420" i="26" s="1"/>
  <c r="M421" i="26" s="1"/>
  <c r="M422" i="26" s="1"/>
  <c r="M423" i="26" s="1"/>
  <c r="M424" i="26" s="1"/>
  <c r="M425" i="26" s="1"/>
  <c r="M426" i="26" s="1"/>
  <c r="M427" i="26" s="1"/>
  <c r="M428" i="26" s="1"/>
  <c r="M429" i="26" s="1"/>
  <c r="M430" i="26" s="1"/>
  <c r="M431" i="26" s="1"/>
  <c r="M432" i="26" s="1"/>
  <c r="M433" i="26" s="1"/>
  <c r="M434" i="26" s="1"/>
  <c r="M435" i="26" s="1"/>
  <c r="M436" i="26" s="1"/>
  <c r="M437" i="26" s="1"/>
  <c r="M438" i="26" s="1"/>
  <c r="M439" i="26" s="1"/>
  <c r="M440" i="26" s="1"/>
  <c r="M441" i="26" s="1"/>
  <c r="M442" i="26" s="1"/>
  <c r="M443" i="26" s="1"/>
  <c r="M444" i="26" s="1"/>
  <c r="M445" i="26" s="1"/>
  <c r="M446" i="26" s="1"/>
  <c r="M447" i="26" s="1"/>
  <c r="M448" i="26" s="1"/>
  <c r="M449" i="26" s="1"/>
  <c r="M450" i="26" s="1"/>
  <c r="M451" i="26" s="1"/>
  <c r="M452" i="26" s="1"/>
  <c r="M453" i="26" s="1"/>
  <c r="M454" i="26" s="1"/>
  <c r="M455" i="26" s="1"/>
  <c r="M456" i="26" s="1"/>
  <c r="M457" i="26" s="1"/>
  <c r="M458" i="26" s="1"/>
  <c r="M459" i="26" s="1"/>
  <c r="M460" i="26" s="1"/>
  <c r="M461" i="26" s="1"/>
  <c r="M462" i="26" s="1"/>
  <c r="M463" i="26" s="1"/>
  <c r="M464" i="26" s="1"/>
  <c r="M465" i="26" s="1"/>
  <c r="M466" i="26" s="1"/>
  <c r="M467" i="26" s="1"/>
  <c r="M468" i="26" s="1"/>
  <c r="M469" i="26" s="1"/>
  <c r="M470" i="26" s="1"/>
  <c r="M471" i="26" s="1"/>
  <c r="M472" i="26" s="1"/>
  <c r="M473" i="26" s="1"/>
  <c r="M474" i="26" s="1"/>
  <c r="M475" i="26" s="1"/>
  <c r="M476" i="26" s="1"/>
  <c r="M477" i="26" s="1"/>
  <c r="M478" i="26" s="1"/>
  <c r="M479" i="26" s="1"/>
  <c r="M480" i="26" s="1"/>
  <c r="M481" i="26" s="1"/>
  <c r="M482" i="26" s="1"/>
  <c r="M483" i="26" s="1"/>
  <c r="M484" i="26" s="1"/>
  <c r="M485" i="26" s="1"/>
  <c r="M486" i="26" s="1"/>
  <c r="M487" i="26" s="1"/>
  <c r="M488" i="26" s="1"/>
  <c r="M489" i="26" s="1"/>
  <c r="M490" i="26" s="1"/>
  <c r="M491" i="26" s="1"/>
  <c r="M492" i="26" s="1"/>
  <c r="M493" i="26" s="1"/>
  <c r="M494" i="26" s="1"/>
  <c r="M495" i="26" s="1"/>
  <c r="M496" i="26" s="1"/>
  <c r="M497" i="26" s="1"/>
  <c r="M498" i="26" s="1"/>
  <c r="M499" i="26" s="1"/>
  <c r="M500" i="26" s="1"/>
  <c r="M501" i="26" s="1"/>
  <c r="M502" i="26" s="1"/>
  <c r="M503" i="26" s="1"/>
  <c r="M504" i="26" s="1"/>
  <c r="M505" i="26" s="1"/>
  <c r="M506" i="26" s="1"/>
  <c r="M507" i="26" s="1"/>
  <c r="M508" i="26" s="1"/>
  <c r="M509" i="26" s="1"/>
  <c r="M510" i="26" s="1"/>
  <c r="M511" i="26" s="1"/>
  <c r="M512" i="26" s="1"/>
  <c r="M513" i="26" s="1"/>
  <c r="M514" i="26" s="1"/>
  <c r="M515" i="26" s="1"/>
  <c r="M516" i="26" s="1"/>
  <c r="M517" i="26" s="1"/>
  <c r="M518" i="26" s="1"/>
  <c r="C100" i="26" s="1"/>
  <c r="R13" i="26"/>
  <c r="R11" i="26"/>
  <c r="R10" i="26"/>
  <c r="R12" i="26"/>
  <c r="R79" i="26"/>
  <c r="C300" i="26" l="1"/>
  <c r="E248" i="26"/>
  <c r="B247" i="26"/>
  <c r="C247" i="26"/>
  <c r="F245" i="26"/>
  <c r="D245" i="26"/>
  <c r="B245" i="26"/>
  <c r="B298" i="26"/>
  <c r="C298" i="26"/>
  <c r="B300" i="26"/>
  <c r="D299" i="26"/>
  <c r="C248" i="26"/>
  <c r="D248" i="26"/>
  <c r="H247" i="26"/>
  <c r="I248" i="26"/>
  <c r="E246" i="26"/>
  <c r="B248" i="26"/>
  <c r="C299" i="26"/>
  <c r="E245" i="26"/>
  <c r="F247" i="26"/>
  <c r="H245" i="26"/>
  <c r="D301" i="26"/>
  <c r="H248" i="26"/>
  <c r="C245" i="26"/>
  <c r="B301" i="26"/>
  <c r="I247" i="26"/>
  <c r="B246" i="26"/>
  <c r="E247" i="26"/>
  <c r="F248" i="26"/>
  <c r="B299" i="26"/>
  <c r="G246" i="26"/>
  <c r="I245" i="26"/>
  <c r="D247" i="26"/>
  <c r="I246" i="26"/>
  <c r="D298" i="26"/>
  <c r="G248" i="26"/>
  <c r="H246" i="26"/>
  <c r="G245" i="26"/>
  <c r="F246" i="26"/>
  <c r="D300" i="26"/>
  <c r="C246" i="26"/>
  <c r="D246" i="26"/>
  <c r="C301" i="26"/>
  <c r="G247" i="26"/>
  <c r="B296" i="26" l="1"/>
  <c r="B289" i="26"/>
  <c r="D291" i="26"/>
  <c r="C294" i="26" l="1"/>
  <c r="C286" i="26"/>
  <c r="C295" i="26"/>
  <c r="D294" i="26"/>
  <c r="D283" i="26"/>
  <c r="C283" i="26"/>
  <c r="D282" i="26"/>
  <c r="C290" i="26"/>
  <c r="B303" i="26"/>
  <c r="B288" i="26"/>
  <c r="C287" i="26"/>
  <c r="D293" i="26"/>
  <c r="D288" i="26"/>
  <c r="B283" i="26"/>
  <c r="B291" i="26"/>
  <c r="C305" i="26"/>
  <c r="D304" i="26"/>
  <c r="B285" i="26"/>
  <c r="B293" i="26"/>
  <c r="C289" i="26"/>
  <c r="B294" i="26"/>
  <c r="B305" i="26"/>
  <c r="D297" i="26"/>
  <c r="B284" i="26"/>
  <c r="C303" i="26"/>
  <c r="D295" i="26"/>
  <c r="B304" i="26"/>
  <c r="B290" i="26"/>
  <c r="C288" i="26"/>
  <c r="D284" i="26"/>
  <c r="B286" i="26"/>
  <c r="C284" i="26"/>
  <c r="D303" i="26"/>
  <c r="D285" i="26"/>
  <c r="B297" i="26"/>
  <c r="D302" i="26"/>
  <c r="C293" i="26"/>
  <c r="B292" i="26"/>
  <c r="C292" i="26"/>
  <c r="D305" i="26"/>
  <c r="D287" i="26"/>
  <c r="B282" i="26"/>
  <c r="D292" i="26"/>
  <c r="C297" i="26"/>
  <c r="C302" i="26"/>
  <c r="B287" i="26"/>
  <c r="B295" i="26"/>
  <c r="D290" i="26"/>
  <c r="B302" i="26"/>
  <c r="C304" i="26"/>
  <c r="D296" i="26"/>
  <c r="D289" i="26"/>
  <c r="C291" i="26"/>
  <c r="C282" i="26"/>
  <c r="C296" i="26"/>
  <c r="C285" i="26"/>
  <c r="D286" i="26"/>
  <c r="G138" i="26" l="1"/>
  <c r="H116" i="26" l="1"/>
  <c r="C145" i="26"/>
  <c r="G151" i="26"/>
  <c r="H137" i="26"/>
  <c r="D134" i="26"/>
  <c r="I126" i="26"/>
  <c r="E139" i="26"/>
  <c r="E150" i="26"/>
  <c r="E131" i="26"/>
  <c r="H133" i="26"/>
  <c r="B141" i="26"/>
  <c r="C118" i="26"/>
  <c r="B135" i="26"/>
  <c r="D131" i="26"/>
  <c r="D125" i="26"/>
  <c r="B134" i="26"/>
  <c r="E149" i="26"/>
  <c r="I122" i="26"/>
  <c r="H151" i="26"/>
  <c r="B130" i="26"/>
  <c r="G115" i="26"/>
  <c r="F134" i="26"/>
  <c r="E145" i="26"/>
  <c r="E152" i="26"/>
  <c r="F124" i="26"/>
  <c r="F125" i="26"/>
  <c r="D140" i="26"/>
  <c r="I133" i="26"/>
  <c r="F127" i="26"/>
  <c r="G157" i="26"/>
  <c r="I116" i="26"/>
  <c r="F141" i="26"/>
  <c r="E115" i="26"/>
  <c r="C155" i="26"/>
  <c r="I118" i="26"/>
  <c r="B120" i="26"/>
  <c r="C149" i="26"/>
  <c r="H138" i="26"/>
  <c r="C151" i="26"/>
  <c r="C158" i="26"/>
  <c r="H126" i="26"/>
  <c r="B119" i="26"/>
  <c r="C146" i="26"/>
  <c r="C117" i="26"/>
  <c r="E156" i="26"/>
  <c r="I114" i="26"/>
  <c r="D145" i="26"/>
  <c r="F159" i="26"/>
  <c r="D156" i="26"/>
  <c r="F132" i="26"/>
  <c r="E128" i="26"/>
  <c r="G123" i="26"/>
  <c r="B118" i="26"/>
  <c r="G134" i="26"/>
  <c r="D120" i="26"/>
  <c r="G148" i="26"/>
  <c r="D157" i="26"/>
  <c r="D127" i="26"/>
  <c r="I128" i="26"/>
  <c r="C136" i="26"/>
  <c r="C126" i="26"/>
  <c r="E153" i="26"/>
  <c r="G144" i="26"/>
  <c r="I131" i="26"/>
  <c r="G159" i="26"/>
  <c r="C124" i="26"/>
  <c r="C144" i="26"/>
  <c r="H118" i="26"/>
  <c r="H117" i="26"/>
  <c r="B150" i="26"/>
  <c r="G125" i="26"/>
  <c r="B156" i="26"/>
  <c r="B136" i="26"/>
  <c r="B117" i="26"/>
  <c r="G120" i="26"/>
  <c r="G118" i="26"/>
  <c r="B131" i="26"/>
  <c r="F142" i="26"/>
  <c r="G127" i="26"/>
  <c r="B152" i="26"/>
  <c r="B126" i="26"/>
  <c r="C119" i="26"/>
  <c r="F152" i="26"/>
  <c r="G158" i="26"/>
  <c r="H153" i="26"/>
  <c r="D158" i="26"/>
  <c r="D148" i="26"/>
  <c r="F130" i="26"/>
  <c r="H142" i="26"/>
  <c r="E114" i="26"/>
  <c r="I147" i="26"/>
  <c r="H146" i="26"/>
  <c r="D138" i="26"/>
  <c r="F114" i="26"/>
  <c r="E127" i="26"/>
  <c r="D137" i="26"/>
  <c r="B159" i="26"/>
  <c r="D149" i="26"/>
  <c r="E125" i="26"/>
  <c r="D159" i="26"/>
  <c r="I148" i="26"/>
  <c r="I137" i="26"/>
  <c r="F122" i="26"/>
  <c r="I132" i="26"/>
  <c r="D144" i="26"/>
  <c r="F146" i="26"/>
  <c r="H147" i="26"/>
  <c r="G137" i="26"/>
  <c r="H145" i="26"/>
  <c r="B139" i="26"/>
  <c r="C140" i="26"/>
  <c r="C132" i="26"/>
  <c r="F155" i="26"/>
  <c r="H143" i="26"/>
  <c r="C133" i="26"/>
  <c r="E141" i="26"/>
  <c r="F145" i="26"/>
  <c r="C139" i="26"/>
  <c r="C157" i="26"/>
  <c r="C135" i="26"/>
  <c r="D150" i="26"/>
  <c r="H148" i="26"/>
  <c r="H134" i="26"/>
  <c r="G153" i="26"/>
  <c r="C156" i="26"/>
  <c r="G124" i="26"/>
  <c r="G145" i="26"/>
  <c r="B114" i="26"/>
  <c r="B137" i="26"/>
  <c r="I159" i="26"/>
  <c r="E136" i="26"/>
  <c r="H158" i="26"/>
  <c r="B146" i="26"/>
  <c r="C120" i="26"/>
  <c r="G141" i="26"/>
  <c r="D115" i="26"/>
  <c r="C150" i="26"/>
  <c r="G147" i="26"/>
  <c r="B123" i="26"/>
  <c r="F140" i="26"/>
  <c r="F133" i="26"/>
  <c r="F138" i="26"/>
  <c r="E143" i="26"/>
  <c r="C128" i="26"/>
  <c r="E148" i="26"/>
  <c r="C116" i="26"/>
  <c r="D121" i="26"/>
  <c r="E158" i="26"/>
  <c r="F147" i="26"/>
  <c r="B145" i="26"/>
  <c r="G129" i="26"/>
  <c r="I139" i="26"/>
  <c r="D153" i="26"/>
  <c r="C122" i="26"/>
  <c r="I140" i="26"/>
  <c r="B157" i="26"/>
  <c r="D119" i="26"/>
  <c r="C115" i="26"/>
  <c r="B143" i="26"/>
  <c r="H114" i="26"/>
  <c r="I117" i="26"/>
  <c r="H130" i="26"/>
  <c r="H128" i="26"/>
  <c r="G131" i="26"/>
  <c r="I119" i="26"/>
  <c r="C131" i="26"/>
  <c r="F137" i="26"/>
  <c r="E154" i="26"/>
  <c r="F116" i="26"/>
  <c r="H141" i="26"/>
  <c r="E6" i="26"/>
  <c r="C6" i="26"/>
  <c r="G6" i="26"/>
  <c r="F6" i="26"/>
  <c r="H6" i="26"/>
  <c r="D6" i="26"/>
  <c r="I6" i="26"/>
  <c r="B6" i="26"/>
  <c r="D154" i="26"/>
  <c r="I130" i="26"/>
  <c r="I152" i="26"/>
  <c r="I121" i="26"/>
  <c r="F7" i="26"/>
  <c r="C7" i="26"/>
  <c r="B7" i="26"/>
  <c r="I7" i="26"/>
  <c r="G7" i="26"/>
  <c r="D7" i="26"/>
  <c r="E7" i="26"/>
  <c r="H7" i="26"/>
  <c r="B8" i="26"/>
  <c r="D8" i="26"/>
  <c r="H8" i="26"/>
  <c r="G8" i="26"/>
  <c r="F8" i="26"/>
  <c r="E8" i="26"/>
  <c r="C8" i="26"/>
  <c r="I138" i="26"/>
  <c r="C9" i="26"/>
  <c r="G9" i="26"/>
  <c r="B9" i="26"/>
  <c r="F9" i="26"/>
  <c r="H9" i="26"/>
  <c r="E9" i="26"/>
  <c r="D9" i="26"/>
  <c r="I9" i="26"/>
  <c r="H154" i="26"/>
  <c r="D10" i="26"/>
  <c r="E10" i="26"/>
  <c r="F10" i="26"/>
  <c r="I10" i="26"/>
  <c r="H10" i="26"/>
  <c r="B10" i="26"/>
  <c r="G10" i="26"/>
  <c r="C10" i="26"/>
  <c r="F120" i="26"/>
  <c r="H11" i="26"/>
  <c r="F11" i="26"/>
  <c r="E11" i="26"/>
  <c r="B11" i="26"/>
  <c r="C11" i="26"/>
  <c r="D11" i="26"/>
  <c r="G11" i="26"/>
  <c r="I11" i="26"/>
  <c r="G12" i="26"/>
  <c r="C12" i="26"/>
  <c r="D12" i="26"/>
  <c r="H12" i="26"/>
  <c r="B12" i="26"/>
  <c r="E12" i="26"/>
  <c r="F12" i="26"/>
  <c r="B13" i="26"/>
  <c r="E13" i="26"/>
  <c r="D13" i="26"/>
  <c r="C13" i="26"/>
  <c r="G13" i="26"/>
  <c r="F13" i="26"/>
  <c r="H13" i="26"/>
  <c r="I13" i="26"/>
  <c r="F14" i="26"/>
  <c r="B14" i="26"/>
  <c r="G14" i="26"/>
  <c r="H14" i="26"/>
  <c r="E14" i="26"/>
  <c r="C14" i="26"/>
  <c r="I14" i="26"/>
  <c r="D14" i="26"/>
  <c r="G15" i="26"/>
  <c r="I15" i="26"/>
  <c r="E15" i="26"/>
  <c r="C15" i="26"/>
  <c r="H15" i="26"/>
  <c r="F15" i="26"/>
  <c r="B15" i="26"/>
  <c r="D15" i="26"/>
  <c r="I158" i="26"/>
  <c r="H16" i="26"/>
  <c r="D16" i="26"/>
  <c r="B16" i="26"/>
  <c r="E16" i="26"/>
  <c r="C16" i="26"/>
  <c r="G16" i="26"/>
  <c r="F16" i="26"/>
  <c r="E17" i="26"/>
  <c r="F17" i="26"/>
  <c r="C17" i="26"/>
  <c r="H17" i="26"/>
  <c r="G17" i="26"/>
  <c r="B17" i="26"/>
  <c r="D17" i="26"/>
  <c r="D18" i="26"/>
  <c r="C18" i="26"/>
  <c r="B18" i="26"/>
  <c r="G18" i="26"/>
  <c r="H18" i="26"/>
  <c r="F18" i="26"/>
  <c r="E18" i="26"/>
  <c r="I18" i="26"/>
  <c r="B19" i="26"/>
  <c r="E19" i="26"/>
  <c r="C19" i="26"/>
  <c r="H19" i="26"/>
  <c r="I19" i="26"/>
  <c r="D19" i="26"/>
  <c r="G19" i="26"/>
  <c r="F19" i="26"/>
  <c r="B20" i="26"/>
  <c r="D20" i="26"/>
  <c r="F20" i="26"/>
  <c r="H20" i="26"/>
  <c r="G20" i="26"/>
  <c r="C20" i="26"/>
  <c r="I20" i="26"/>
  <c r="E20" i="26"/>
  <c r="I21" i="26"/>
  <c r="E21" i="26"/>
  <c r="B21" i="26"/>
  <c r="H21" i="26"/>
  <c r="D21" i="26"/>
  <c r="G21" i="26"/>
  <c r="F21" i="26"/>
  <c r="C21" i="26"/>
  <c r="G22" i="26"/>
  <c r="F22" i="26"/>
  <c r="H22" i="26"/>
  <c r="E22" i="26"/>
  <c r="D22" i="26"/>
  <c r="B22" i="26"/>
  <c r="C22" i="26"/>
  <c r="I22" i="26"/>
  <c r="B23" i="26"/>
  <c r="I23" i="26"/>
  <c r="F23" i="26"/>
  <c r="C23" i="26"/>
  <c r="H23" i="26"/>
  <c r="E23" i="26"/>
  <c r="D23" i="26"/>
  <c r="G23" i="26"/>
  <c r="E24" i="26"/>
  <c r="F24" i="26"/>
  <c r="I24" i="26"/>
  <c r="C24" i="26"/>
  <c r="B24" i="26"/>
  <c r="H24" i="26"/>
  <c r="D24" i="26"/>
  <c r="G24" i="26"/>
  <c r="C25" i="26"/>
  <c r="I25" i="26"/>
  <c r="D25" i="26"/>
  <c r="F25" i="26"/>
  <c r="B25" i="26"/>
  <c r="G25" i="26"/>
  <c r="H25" i="26"/>
  <c r="E25" i="26"/>
  <c r="C26" i="26"/>
  <c r="E26" i="26"/>
  <c r="D26" i="26"/>
  <c r="I26" i="26"/>
  <c r="G26" i="26"/>
  <c r="F26" i="26"/>
  <c r="H26" i="26"/>
  <c r="B26" i="26"/>
  <c r="F27" i="26"/>
  <c r="H27" i="26"/>
  <c r="C27" i="26"/>
  <c r="B27" i="26"/>
  <c r="E27" i="26"/>
  <c r="D27" i="26"/>
  <c r="I27" i="26"/>
  <c r="G27" i="26"/>
  <c r="B155" i="26"/>
  <c r="B28" i="26"/>
  <c r="E28" i="26"/>
  <c r="G28" i="26"/>
  <c r="D28" i="26"/>
  <c r="H28" i="26"/>
  <c r="I28" i="26"/>
  <c r="F28" i="26"/>
  <c r="C28" i="26"/>
  <c r="G29" i="26"/>
  <c r="C29" i="26"/>
  <c r="E29" i="26"/>
  <c r="B29" i="26"/>
  <c r="D29" i="26"/>
  <c r="H29" i="26"/>
  <c r="I29" i="26"/>
  <c r="F29" i="26"/>
  <c r="G30" i="26"/>
  <c r="C30" i="26"/>
  <c r="B30" i="26"/>
  <c r="F30" i="26"/>
  <c r="E30" i="26"/>
  <c r="D30" i="26"/>
  <c r="H30" i="26"/>
  <c r="I30" i="26"/>
  <c r="G135" i="26"/>
  <c r="G152" i="26"/>
  <c r="I129" i="26"/>
  <c r="E134" i="26"/>
  <c r="D146" i="26"/>
  <c r="F126" i="26"/>
  <c r="G142" i="26"/>
  <c r="H144" i="26"/>
  <c r="E151" i="26"/>
  <c r="B148" i="26"/>
  <c r="D143" i="26"/>
  <c r="D128" i="26"/>
  <c r="G116" i="26"/>
  <c r="F144" i="26"/>
  <c r="F117" i="26"/>
  <c r="E119" i="26"/>
  <c r="B138" i="26"/>
  <c r="D142" i="26"/>
  <c r="G136" i="26"/>
  <c r="E144" i="26"/>
  <c r="E147" i="26"/>
  <c r="I124" i="26"/>
  <c r="H132" i="26"/>
  <c r="G119" i="26"/>
  <c r="C123" i="26"/>
  <c r="B132" i="26"/>
  <c r="F156" i="26"/>
  <c r="E159" i="26"/>
  <c r="D136" i="26"/>
  <c r="I157" i="26"/>
  <c r="C148" i="26"/>
  <c r="I134" i="26"/>
  <c r="F149" i="26"/>
  <c r="G149" i="26"/>
  <c r="H122" i="26"/>
  <c r="I144" i="26"/>
  <c r="E137" i="26"/>
  <c r="E117" i="26"/>
  <c r="C130" i="26"/>
  <c r="E135" i="26"/>
  <c r="I142" i="26"/>
  <c r="I115" i="26"/>
  <c r="H125" i="26"/>
  <c r="F131" i="26"/>
  <c r="D123" i="26"/>
  <c r="F119" i="26"/>
  <c r="D155" i="26"/>
  <c r="H131" i="26"/>
  <c r="D141" i="26"/>
  <c r="G122" i="26"/>
  <c r="C141" i="26"/>
  <c r="H135" i="26"/>
  <c r="E129" i="26"/>
  <c r="B116" i="26"/>
  <c r="B144" i="26"/>
  <c r="I146" i="26"/>
  <c r="F154" i="26"/>
  <c r="D114" i="26"/>
  <c r="H115" i="26"/>
  <c r="F121" i="26"/>
  <c r="F31" i="26"/>
  <c r="E31" i="26"/>
  <c r="B31" i="26"/>
  <c r="G31" i="26"/>
  <c r="C31" i="26"/>
  <c r="H31" i="26"/>
  <c r="I31" i="26"/>
  <c r="D31" i="26"/>
  <c r="H155" i="26"/>
  <c r="C32" i="26"/>
  <c r="B32" i="26"/>
  <c r="F32" i="26"/>
  <c r="D32" i="26"/>
  <c r="E32" i="26"/>
  <c r="I32" i="26"/>
  <c r="G32" i="26"/>
  <c r="H32" i="26"/>
  <c r="E33" i="26"/>
  <c r="G33" i="26"/>
  <c r="H33" i="26"/>
  <c r="C33" i="26"/>
  <c r="B33" i="26"/>
  <c r="D33" i="26"/>
  <c r="F33" i="26"/>
  <c r="I33" i="26"/>
  <c r="E120" i="26"/>
  <c r="B121" i="26"/>
  <c r="C34" i="26"/>
  <c r="F34" i="26"/>
  <c r="E34" i="26"/>
  <c r="D34" i="26"/>
  <c r="B34" i="26"/>
  <c r="H34" i="26"/>
  <c r="D116" i="26"/>
  <c r="H157" i="26"/>
  <c r="E35" i="26"/>
  <c r="F35" i="26"/>
  <c r="H35" i="26"/>
  <c r="C35" i="26"/>
  <c r="D35" i="26"/>
  <c r="B35" i="26"/>
  <c r="H150" i="26"/>
  <c r="D124" i="26"/>
  <c r="I36" i="26"/>
  <c r="H36" i="26"/>
  <c r="D36" i="26"/>
  <c r="F36" i="26"/>
  <c r="C36" i="26"/>
  <c r="G36" i="26"/>
  <c r="E36" i="26"/>
  <c r="B36" i="26"/>
  <c r="C37" i="26"/>
  <c r="F37" i="26"/>
  <c r="D37" i="26"/>
  <c r="I37" i="26"/>
  <c r="H37" i="26"/>
  <c r="E37" i="26"/>
  <c r="G37" i="26"/>
  <c r="B37" i="26"/>
  <c r="D38" i="26"/>
  <c r="E38" i="26"/>
  <c r="C38" i="26"/>
  <c r="G38" i="26"/>
  <c r="B38" i="26"/>
  <c r="I38" i="26"/>
  <c r="F38" i="26"/>
  <c r="H38" i="26"/>
  <c r="F39" i="26"/>
  <c r="H39" i="26"/>
  <c r="I39" i="26"/>
  <c r="C39" i="26"/>
  <c r="D39" i="26"/>
  <c r="E39" i="26"/>
  <c r="G39" i="26"/>
  <c r="B39" i="26"/>
  <c r="B129" i="26"/>
  <c r="C40" i="26"/>
  <c r="F40" i="26"/>
  <c r="I40" i="26"/>
  <c r="D40" i="26"/>
  <c r="B40" i="26"/>
  <c r="E40" i="26"/>
  <c r="H40" i="26"/>
  <c r="G40" i="26"/>
  <c r="D135" i="26"/>
  <c r="E41" i="26"/>
  <c r="D41" i="26"/>
  <c r="C41" i="26"/>
  <c r="H41" i="26"/>
  <c r="F41" i="26"/>
  <c r="G41" i="26"/>
  <c r="I41" i="26"/>
  <c r="B41" i="26"/>
  <c r="H42" i="26"/>
  <c r="G42" i="26"/>
  <c r="D42" i="26"/>
  <c r="F42" i="26"/>
  <c r="E42" i="26"/>
  <c r="C42" i="26"/>
  <c r="B42" i="26"/>
  <c r="I42" i="26"/>
  <c r="B115" i="26"/>
  <c r="G43" i="26"/>
  <c r="I43" i="26"/>
  <c r="E43" i="26"/>
  <c r="C43" i="26"/>
  <c r="H43" i="26"/>
  <c r="F43" i="26"/>
  <c r="B43" i="26"/>
  <c r="D43" i="26"/>
  <c r="G44" i="26"/>
  <c r="B44" i="26"/>
  <c r="C44" i="26"/>
  <c r="F44" i="26"/>
  <c r="D44" i="26"/>
  <c r="E44" i="26"/>
  <c r="I44" i="26"/>
  <c r="H44" i="26"/>
  <c r="B45" i="26"/>
  <c r="H45" i="26"/>
  <c r="G45" i="26"/>
  <c r="I45" i="26"/>
  <c r="C45" i="26"/>
  <c r="D45" i="26"/>
  <c r="F45" i="26"/>
  <c r="E45" i="26"/>
  <c r="H46" i="26"/>
  <c r="F46" i="26"/>
  <c r="I46" i="26"/>
  <c r="D46" i="26"/>
  <c r="B46" i="26"/>
  <c r="E46" i="26"/>
  <c r="G46" i="26"/>
  <c r="C46" i="26"/>
  <c r="B47" i="26"/>
  <c r="H47" i="26"/>
  <c r="C47" i="26"/>
  <c r="F47" i="26"/>
  <c r="E47" i="26"/>
  <c r="D47" i="26"/>
  <c r="G47" i="26"/>
  <c r="I47" i="26"/>
  <c r="C129" i="26"/>
  <c r="I156" i="26"/>
  <c r="F135" i="26"/>
  <c r="E48" i="26"/>
  <c r="H48" i="26"/>
  <c r="B48" i="26"/>
  <c r="G48" i="26"/>
  <c r="I48" i="26"/>
  <c r="D48" i="26"/>
  <c r="F48" i="26"/>
  <c r="C48" i="26"/>
  <c r="E118" i="26"/>
  <c r="F49" i="26"/>
  <c r="I49" i="26"/>
  <c r="B49" i="26"/>
  <c r="C49" i="26"/>
  <c r="D49" i="26"/>
  <c r="G49" i="26"/>
  <c r="E49" i="26"/>
  <c r="H49" i="26"/>
  <c r="D50" i="26"/>
  <c r="H50" i="26"/>
  <c r="E50" i="26"/>
  <c r="F50" i="26"/>
  <c r="G50" i="26"/>
  <c r="C50" i="26"/>
  <c r="I50" i="26"/>
  <c r="B50" i="26"/>
  <c r="H51" i="26"/>
  <c r="E51" i="26"/>
  <c r="D51" i="26"/>
  <c r="C51" i="26"/>
  <c r="B51" i="26"/>
  <c r="G51" i="26"/>
  <c r="F51" i="26"/>
  <c r="I51" i="26"/>
  <c r="G139" i="26"/>
  <c r="E52" i="26"/>
  <c r="G52" i="26"/>
  <c r="H52" i="26"/>
  <c r="C52" i="26"/>
  <c r="B52" i="26"/>
  <c r="D52" i="26"/>
  <c r="I52" i="26"/>
  <c r="F52" i="26"/>
  <c r="I53" i="26"/>
  <c r="H53" i="26"/>
  <c r="F53" i="26"/>
  <c r="B53" i="26"/>
  <c r="G53" i="26"/>
  <c r="D53" i="26"/>
  <c r="C53" i="26"/>
  <c r="E53" i="26"/>
  <c r="G54" i="26"/>
  <c r="B54" i="26"/>
  <c r="H54" i="26"/>
  <c r="C54" i="26"/>
  <c r="D54" i="26"/>
  <c r="E54" i="26"/>
  <c r="I54" i="26"/>
  <c r="F54" i="26"/>
  <c r="C55" i="26"/>
  <c r="G55" i="26"/>
  <c r="I55" i="26"/>
  <c r="F55" i="26"/>
  <c r="H55" i="26"/>
  <c r="E55" i="26"/>
  <c r="D55" i="26"/>
  <c r="B55" i="26"/>
  <c r="H140" i="26"/>
  <c r="E56" i="26"/>
  <c r="C56" i="26"/>
  <c r="H56" i="26"/>
  <c r="G56" i="26"/>
  <c r="B56" i="26"/>
  <c r="D56" i="26"/>
  <c r="F56" i="26"/>
  <c r="I56" i="26"/>
  <c r="E57" i="26"/>
  <c r="F57" i="26"/>
  <c r="D57" i="26"/>
  <c r="I57" i="26"/>
  <c r="B57" i="26"/>
  <c r="G57" i="26"/>
  <c r="C57" i="26"/>
  <c r="H57" i="26"/>
  <c r="D58" i="26"/>
  <c r="E58" i="26"/>
  <c r="H58" i="26"/>
  <c r="F58" i="26"/>
  <c r="B58" i="26"/>
  <c r="G58" i="26"/>
  <c r="C58" i="26"/>
  <c r="I58" i="26"/>
  <c r="H120" i="26"/>
  <c r="I59" i="26"/>
  <c r="E59" i="26"/>
  <c r="G59" i="26"/>
  <c r="D59" i="26"/>
  <c r="B59" i="26"/>
  <c r="H59" i="26"/>
  <c r="C59" i="26"/>
  <c r="F59" i="26"/>
  <c r="F60" i="26"/>
  <c r="H60" i="26"/>
  <c r="C60" i="26"/>
  <c r="E60" i="26"/>
  <c r="D60" i="26"/>
  <c r="G60" i="26"/>
  <c r="I60" i="26"/>
  <c r="B60" i="26"/>
  <c r="C152" i="26"/>
  <c r="G154" i="26"/>
  <c r="H61" i="26"/>
  <c r="G61" i="26"/>
  <c r="D61" i="26"/>
  <c r="E61" i="26"/>
  <c r="C61" i="26"/>
  <c r="F61" i="26"/>
  <c r="I61" i="26"/>
  <c r="B61" i="26"/>
  <c r="C62" i="26"/>
  <c r="D62" i="26"/>
  <c r="G62" i="26"/>
  <c r="B62" i="26"/>
  <c r="E62" i="26"/>
  <c r="H62" i="26"/>
  <c r="I62" i="26"/>
  <c r="F62" i="26"/>
  <c r="D63" i="26"/>
  <c r="B63" i="26"/>
  <c r="C63" i="26"/>
  <c r="F63" i="26"/>
  <c r="E63" i="26"/>
  <c r="H63" i="26"/>
  <c r="G63" i="26"/>
  <c r="I63" i="26"/>
  <c r="E64" i="26"/>
  <c r="C64" i="26"/>
  <c r="B64" i="26"/>
  <c r="D64" i="26"/>
  <c r="I64" i="26"/>
  <c r="F64" i="26"/>
  <c r="H64" i="26"/>
  <c r="G64" i="26"/>
  <c r="G65" i="26"/>
  <c r="H65" i="26"/>
  <c r="C65" i="26"/>
  <c r="F65" i="26"/>
  <c r="I65" i="26"/>
  <c r="E65" i="26"/>
  <c r="D65" i="26"/>
  <c r="B65" i="26"/>
  <c r="E66" i="26"/>
  <c r="C66" i="26"/>
  <c r="F66" i="26"/>
  <c r="I66" i="26"/>
  <c r="H66" i="26"/>
  <c r="G66" i="26"/>
  <c r="B66" i="26"/>
  <c r="D66" i="26"/>
  <c r="D67" i="26"/>
  <c r="E67" i="26"/>
  <c r="C67" i="26"/>
  <c r="I67" i="26"/>
  <c r="F67" i="26"/>
  <c r="H67" i="26"/>
  <c r="G67" i="26"/>
  <c r="B67" i="26"/>
  <c r="B68" i="26"/>
  <c r="G68" i="26"/>
  <c r="D68" i="26"/>
  <c r="F68" i="26"/>
  <c r="C68" i="26"/>
  <c r="I68" i="26"/>
  <c r="E68" i="26"/>
  <c r="H68" i="26"/>
  <c r="H69" i="26"/>
  <c r="E69" i="26"/>
  <c r="B69" i="26"/>
  <c r="D69" i="26"/>
  <c r="F69" i="26"/>
  <c r="G69" i="26"/>
  <c r="I69" i="26"/>
  <c r="C69" i="26"/>
  <c r="G70" i="26"/>
  <c r="D70" i="26"/>
  <c r="B70" i="26"/>
  <c r="E70" i="26"/>
  <c r="H70" i="26"/>
  <c r="F70" i="26"/>
  <c r="I70" i="26"/>
  <c r="C70" i="26"/>
  <c r="D71" i="26"/>
  <c r="B71" i="26"/>
  <c r="I71" i="26"/>
  <c r="C71" i="26"/>
  <c r="E71" i="26"/>
  <c r="F71" i="26"/>
  <c r="G71" i="26"/>
  <c r="H71" i="26"/>
  <c r="F72" i="26"/>
  <c r="D72" i="26"/>
  <c r="B72" i="26"/>
  <c r="C72" i="26"/>
  <c r="I72" i="26"/>
  <c r="E72" i="26"/>
  <c r="H72" i="26"/>
  <c r="G72" i="26"/>
  <c r="I123" i="26"/>
  <c r="F73" i="26"/>
  <c r="I73" i="26"/>
  <c r="E73" i="26"/>
  <c r="G73" i="26"/>
  <c r="H73" i="26"/>
  <c r="B73" i="26"/>
  <c r="D73" i="26"/>
  <c r="C73" i="26"/>
  <c r="E133" i="26"/>
  <c r="D151" i="26"/>
  <c r="H127" i="26"/>
  <c r="E74" i="26"/>
  <c r="I74" i="26"/>
  <c r="H74" i="26"/>
  <c r="C74" i="26"/>
  <c r="D74" i="26"/>
  <c r="F74" i="26"/>
  <c r="B74" i="26"/>
  <c r="G74" i="26"/>
  <c r="E157" i="26"/>
  <c r="E130" i="26"/>
  <c r="E155" i="26"/>
  <c r="G75" i="26"/>
  <c r="D75" i="26"/>
  <c r="C75" i="26"/>
  <c r="H75" i="26"/>
  <c r="B75" i="26"/>
  <c r="E75" i="26"/>
  <c r="F75" i="26"/>
  <c r="I75" i="26"/>
  <c r="I120" i="26"/>
  <c r="E76" i="26"/>
  <c r="G76" i="26"/>
  <c r="C76" i="26"/>
  <c r="I76" i="26"/>
  <c r="H76" i="26"/>
  <c r="F76" i="26"/>
  <c r="D76" i="26"/>
  <c r="B76" i="26"/>
  <c r="G77" i="26"/>
  <c r="D77" i="26"/>
  <c r="E77" i="26"/>
  <c r="F77" i="26"/>
  <c r="I77" i="26"/>
  <c r="C77" i="26"/>
  <c r="H77" i="26"/>
  <c r="B77" i="26"/>
  <c r="F78" i="26"/>
  <c r="E78" i="26"/>
  <c r="D78" i="26"/>
  <c r="H78" i="26"/>
  <c r="G78" i="26"/>
  <c r="B78" i="26"/>
  <c r="I78" i="26"/>
  <c r="C78" i="26"/>
  <c r="E79" i="26"/>
  <c r="F79" i="26"/>
  <c r="C79" i="26"/>
  <c r="I79" i="26"/>
  <c r="H79" i="26"/>
  <c r="B79" i="26"/>
  <c r="G79" i="26"/>
  <c r="D79" i="26"/>
  <c r="D147" i="26"/>
  <c r="G128" i="26"/>
  <c r="F80" i="26"/>
  <c r="E80" i="26"/>
  <c r="I80" i="26"/>
  <c r="H80" i="26"/>
  <c r="C80" i="26"/>
  <c r="G80" i="26"/>
  <c r="D80" i="26"/>
  <c r="B80" i="26"/>
  <c r="H81" i="26"/>
  <c r="C81" i="26"/>
  <c r="E81" i="26"/>
  <c r="F81" i="26"/>
  <c r="I81" i="26"/>
  <c r="G81" i="26"/>
  <c r="B81" i="26"/>
  <c r="D81" i="26"/>
  <c r="D82" i="26"/>
  <c r="I82" i="26"/>
  <c r="F82" i="26"/>
  <c r="C82" i="26"/>
  <c r="E82" i="26"/>
  <c r="B82" i="26"/>
  <c r="G82" i="26"/>
  <c r="H82" i="26"/>
  <c r="C83" i="26"/>
  <c r="D83" i="26"/>
  <c r="I83" i="26"/>
  <c r="F83" i="26"/>
  <c r="E83" i="26"/>
  <c r="B83" i="26"/>
  <c r="G83" i="26"/>
  <c r="H83" i="26"/>
  <c r="B84" i="26"/>
  <c r="E84" i="26"/>
  <c r="I84" i="26"/>
  <c r="C84" i="26"/>
  <c r="H84" i="26"/>
  <c r="F84" i="26"/>
  <c r="G84" i="26"/>
  <c r="D84" i="26"/>
  <c r="G85" i="26"/>
  <c r="F85" i="26"/>
  <c r="I85" i="26"/>
  <c r="D85" i="26"/>
  <c r="B85" i="26"/>
  <c r="C85" i="26"/>
  <c r="H85" i="26"/>
  <c r="E85" i="26"/>
  <c r="H139" i="26"/>
  <c r="G132" i="26"/>
  <c r="B133" i="26"/>
  <c r="C86" i="26"/>
  <c r="G86" i="26"/>
  <c r="E86" i="26"/>
  <c r="D86" i="26"/>
  <c r="F86" i="26"/>
  <c r="B86" i="26"/>
  <c r="H86" i="26"/>
  <c r="I86" i="26"/>
  <c r="G87" i="26"/>
  <c r="C87" i="26"/>
  <c r="D87" i="26"/>
  <c r="E87" i="26"/>
  <c r="F87" i="26"/>
  <c r="B87" i="26"/>
  <c r="H87" i="26"/>
  <c r="I87" i="26"/>
  <c r="E88" i="26"/>
  <c r="B88" i="26"/>
  <c r="C88" i="26"/>
  <c r="F88" i="26"/>
  <c r="D88" i="26"/>
  <c r="H88" i="26"/>
  <c r="C89" i="26"/>
  <c r="E89" i="26"/>
  <c r="B89" i="26"/>
  <c r="H89" i="26"/>
  <c r="F89" i="26"/>
  <c r="D89" i="26"/>
  <c r="I89" i="26"/>
  <c r="G89" i="26"/>
  <c r="F90" i="26"/>
  <c r="H90" i="26"/>
  <c r="B90" i="26"/>
  <c r="E90" i="26"/>
  <c r="I90" i="26"/>
  <c r="D90" i="26"/>
  <c r="C90" i="26"/>
  <c r="G90" i="26"/>
  <c r="D91" i="26"/>
  <c r="C91" i="26"/>
  <c r="B91" i="26"/>
  <c r="F91" i="26"/>
  <c r="I91" i="26"/>
  <c r="G91" i="26"/>
  <c r="E91" i="26"/>
  <c r="H91" i="26"/>
  <c r="E92" i="26"/>
  <c r="F92" i="26"/>
  <c r="D92" i="26"/>
  <c r="C92" i="26"/>
  <c r="B92" i="26"/>
  <c r="H92" i="26"/>
  <c r="E93" i="26"/>
  <c r="G93" i="26"/>
  <c r="I93" i="26"/>
  <c r="B93" i="26"/>
  <c r="C93" i="26"/>
  <c r="H93" i="26"/>
  <c r="F93" i="26"/>
  <c r="D93" i="26"/>
  <c r="D94" i="26"/>
  <c r="G94" i="26"/>
  <c r="C94" i="26"/>
  <c r="B94" i="26"/>
  <c r="E94" i="26"/>
  <c r="H94" i="26"/>
  <c r="I94" i="26"/>
  <c r="F94" i="26"/>
  <c r="H95" i="26"/>
  <c r="D95" i="26"/>
  <c r="C95" i="26"/>
  <c r="G95" i="26"/>
  <c r="I95" i="26"/>
  <c r="E95" i="26"/>
  <c r="B95" i="26"/>
  <c r="F95" i="26"/>
  <c r="D96" i="26"/>
  <c r="H96" i="26"/>
  <c r="G96" i="26"/>
  <c r="C96" i="26"/>
  <c r="B96" i="26"/>
  <c r="F96" i="26"/>
  <c r="I96" i="26"/>
  <c r="E96" i="26"/>
  <c r="G97" i="26"/>
  <c r="I97" i="26"/>
  <c r="H97" i="26"/>
  <c r="E97" i="26"/>
  <c r="C97" i="26"/>
  <c r="B97" i="26"/>
  <c r="D97" i="26"/>
  <c r="F97" i="26"/>
  <c r="E98" i="26"/>
  <c r="I98" i="26"/>
  <c r="H98" i="26"/>
  <c r="C98" i="26"/>
  <c r="G98" i="26"/>
  <c r="D98" i="26"/>
  <c r="F98" i="26"/>
  <c r="B98" i="26"/>
  <c r="D233" i="26"/>
  <c r="G269" i="26"/>
  <c r="H175" i="26"/>
  <c r="B101" i="26"/>
  <c r="I238" i="26"/>
  <c r="B142" i="26"/>
  <c r="D194" i="26"/>
  <c r="E103" i="26"/>
  <c r="F242" i="26"/>
  <c r="C168" i="26"/>
  <c r="D234" i="26"/>
  <c r="D220" i="26"/>
  <c r="E233" i="26"/>
  <c r="H121" i="26"/>
  <c r="I223" i="26"/>
  <c r="F194" i="26"/>
  <c r="G214" i="26"/>
  <c r="G242" i="26"/>
  <c r="E146" i="26"/>
  <c r="C193" i="26"/>
  <c r="C210" i="26"/>
  <c r="C112" i="26"/>
  <c r="H269" i="26"/>
  <c r="G213" i="26"/>
  <c r="C107" i="26"/>
  <c r="H177" i="26"/>
  <c r="C111" i="26"/>
  <c r="H230" i="26"/>
  <c r="H229" i="26"/>
  <c r="I181" i="26"/>
  <c r="H196" i="26"/>
  <c r="F264" i="26"/>
  <c r="B149" i="26"/>
  <c r="C159" i="26"/>
  <c r="C121" i="26"/>
  <c r="E186" i="26"/>
  <c r="D230" i="26"/>
  <c r="F173" i="26"/>
  <c r="E138" i="26"/>
  <c r="I213" i="26"/>
  <c r="I234" i="26"/>
  <c r="B194" i="26"/>
  <c r="B197" i="26"/>
  <c r="H181" i="26"/>
  <c r="C176" i="26"/>
  <c r="D207" i="26"/>
  <c r="B230" i="26"/>
  <c r="B270" i="26"/>
  <c r="H152" i="26"/>
  <c r="G102" i="26"/>
  <c r="I145" i="26"/>
  <c r="H219" i="26"/>
  <c r="I272" i="26"/>
  <c r="H214" i="26"/>
  <c r="C99" i="26"/>
  <c r="C239" i="26"/>
  <c r="H223" i="26"/>
  <c r="H226" i="26"/>
  <c r="C271" i="26"/>
  <c r="B216" i="26"/>
  <c r="C113" i="26"/>
  <c r="H262" i="26"/>
  <c r="H210" i="26"/>
  <c r="E140" i="26"/>
  <c r="B238" i="26"/>
  <c r="G104" i="26"/>
  <c r="H227" i="26"/>
  <c r="H102" i="26"/>
  <c r="I196" i="26"/>
  <c r="C214" i="26"/>
  <c r="G228" i="26"/>
  <c r="G167" i="26"/>
  <c r="C110" i="26"/>
  <c r="C170" i="26"/>
  <c r="E214" i="26"/>
  <c r="B167" i="26"/>
  <c r="C217" i="26"/>
  <c r="B109" i="26"/>
  <c r="C231" i="26"/>
  <c r="B211" i="26"/>
  <c r="H111" i="26"/>
  <c r="F148" i="26"/>
  <c r="B192" i="26"/>
  <c r="B189" i="26"/>
  <c r="D211" i="26"/>
  <c r="H220" i="26"/>
  <c r="I235" i="26"/>
  <c r="D262" i="26"/>
  <c r="F187" i="26"/>
  <c r="H149" i="26"/>
  <c r="I166" i="26"/>
  <c r="G174" i="26"/>
  <c r="B178" i="26"/>
  <c r="F263" i="26"/>
  <c r="G168" i="26"/>
  <c r="B227" i="26"/>
  <c r="F170" i="26"/>
  <c r="G229" i="26"/>
  <c r="D213" i="26"/>
  <c r="C240" i="26"/>
  <c r="I217" i="26"/>
  <c r="I177" i="26"/>
  <c r="F262" i="26"/>
  <c r="H235" i="26"/>
  <c r="H112" i="26"/>
  <c r="E235" i="26"/>
  <c r="B237" i="26"/>
  <c r="B229" i="26"/>
  <c r="F271" i="26"/>
  <c r="D118" i="26"/>
  <c r="B166" i="26"/>
  <c r="B106" i="26"/>
  <c r="B171" i="26"/>
  <c r="E176" i="26"/>
  <c r="D108" i="26"/>
  <c r="D269" i="26"/>
  <c r="D272" i="26"/>
  <c r="H169" i="26"/>
  <c r="D197" i="26"/>
  <c r="F168" i="26"/>
  <c r="E181" i="26"/>
  <c r="F165" i="26"/>
  <c r="D232" i="26"/>
  <c r="B214" i="26"/>
  <c r="F177" i="26"/>
  <c r="B140" i="26"/>
  <c r="B269" i="26"/>
  <c r="D170" i="26"/>
  <c r="I111" i="26"/>
  <c r="D235" i="26"/>
  <c r="E234" i="26"/>
  <c r="E171" i="26"/>
  <c r="G187" i="26"/>
  <c r="D165" i="26"/>
  <c r="G271" i="26"/>
  <c r="F235" i="26"/>
  <c r="D101" i="26"/>
  <c r="H233" i="26"/>
  <c r="C233" i="26"/>
  <c r="E265" i="26"/>
  <c r="C272" i="26"/>
  <c r="I209" i="26"/>
  <c r="H271" i="26"/>
  <c r="F128" i="26"/>
  <c r="F269" i="26"/>
  <c r="C196" i="26"/>
  <c r="F190" i="26"/>
  <c r="G150" i="26"/>
  <c r="G244" i="26"/>
  <c r="H104" i="26"/>
  <c r="I232" i="26"/>
  <c r="C183" i="26"/>
  <c r="H243" i="26"/>
  <c r="F224" i="26"/>
  <c r="B182" i="26"/>
  <c r="B107" i="26"/>
  <c r="D172" i="26"/>
  <c r="H185" i="26"/>
  <c r="B127" i="26"/>
  <c r="B264" i="26"/>
  <c r="I127" i="26"/>
  <c r="C228" i="26"/>
  <c r="B234" i="26"/>
  <c r="G208" i="26"/>
  <c r="H170" i="26"/>
  <c r="B222" i="26"/>
  <c r="F237" i="26"/>
  <c r="I103" i="26"/>
  <c r="B147" i="26"/>
  <c r="H183" i="26"/>
  <c r="I228" i="26"/>
  <c r="H208" i="26"/>
  <c r="H239" i="26"/>
  <c r="G171" i="26"/>
  <c r="G176" i="26"/>
  <c r="D193" i="26"/>
  <c r="F232" i="26"/>
  <c r="E238" i="26"/>
  <c r="C186" i="26"/>
  <c r="F150" i="26"/>
  <c r="B225" i="26"/>
  <c r="F136" i="26"/>
  <c r="F106" i="26"/>
  <c r="B105" i="26"/>
  <c r="C142" i="26"/>
  <c r="C185" i="26"/>
  <c r="F112" i="26"/>
  <c r="I150" i="26"/>
  <c r="H119" i="26"/>
  <c r="G105" i="26"/>
  <c r="G165" i="26"/>
  <c r="D206" i="26"/>
  <c r="E212" i="26"/>
  <c r="F188" i="26"/>
  <c r="D215" i="26"/>
  <c r="E178" i="26"/>
  <c r="G195" i="26"/>
  <c r="I175" i="26"/>
  <c r="E165" i="26"/>
  <c r="E108" i="26"/>
  <c r="E271" i="26"/>
  <c r="E262" i="26"/>
  <c r="C102" i="26"/>
  <c r="F231" i="26"/>
  <c r="F107" i="26"/>
  <c r="B239" i="26"/>
  <c r="E211" i="26"/>
  <c r="B104" i="26"/>
  <c r="C221" i="26"/>
  <c r="F176" i="26"/>
  <c r="C137" i="26"/>
  <c r="I149" i="26"/>
  <c r="H234" i="26"/>
  <c r="I230" i="26"/>
  <c r="D225" i="26"/>
  <c r="E270" i="26"/>
  <c r="G241" i="26"/>
  <c r="E213" i="26"/>
  <c r="D214" i="26"/>
  <c r="F143" i="26"/>
  <c r="C178" i="26"/>
  <c r="D244" i="26"/>
  <c r="I100" i="26"/>
  <c r="G227" i="26"/>
  <c r="D241" i="26"/>
  <c r="I269" i="26"/>
  <c r="D175" i="26"/>
  <c r="D103" i="26"/>
  <c r="I194" i="26"/>
  <c r="E168" i="26"/>
  <c r="G173" i="26"/>
  <c r="G234" i="26"/>
  <c r="B271" i="26"/>
  <c r="G107" i="26"/>
  <c r="E196" i="26"/>
  <c r="B174" i="26"/>
  <c r="B183" i="26"/>
  <c r="D178" i="26"/>
  <c r="I243" i="26"/>
  <c r="G218" i="26"/>
  <c r="E179" i="26"/>
  <c r="E101" i="26"/>
  <c r="I167" i="26"/>
  <c r="D188" i="26"/>
  <c r="E228" i="26"/>
  <c r="B158" i="26"/>
  <c r="D192" i="26"/>
  <c r="E191" i="26"/>
  <c r="C212" i="26"/>
  <c r="F219" i="26"/>
  <c r="C180" i="26"/>
  <c r="C195" i="26"/>
  <c r="G190" i="26"/>
  <c r="E172" i="26"/>
  <c r="F111" i="26"/>
  <c r="H103" i="26"/>
  <c r="I265" i="26"/>
  <c r="C174" i="26"/>
  <c r="D167" i="26"/>
  <c r="G270" i="26"/>
  <c r="F241" i="26"/>
  <c r="E184" i="26"/>
  <c r="F169" i="26"/>
  <c r="H222" i="26"/>
  <c r="B265" i="26"/>
  <c r="I206" i="26"/>
  <c r="F99" i="26"/>
  <c r="G224" i="26"/>
  <c r="G232" i="26"/>
  <c r="C184" i="26"/>
  <c r="E192" i="26"/>
  <c r="F129" i="26"/>
  <c r="D216" i="26"/>
  <c r="D180" i="26"/>
  <c r="H124" i="26"/>
  <c r="C179" i="26"/>
  <c r="I172" i="26"/>
  <c r="D208" i="26"/>
  <c r="I183" i="26"/>
  <c r="E174" i="26"/>
  <c r="F222" i="26"/>
  <c r="G184" i="26"/>
  <c r="C229" i="26"/>
  <c r="B210" i="26"/>
  <c r="G117" i="26"/>
  <c r="B173" i="26"/>
  <c r="C192" i="26"/>
  <c r="C215" i="26"/>
  <c r="C244" i="26"/>
  <c r="B223" i="26"/>
  <c r="B111" i="26"/>
  <c r="D243" i="26"/>
  <c r="D110" i="26"/>
  <c r="I99" i="26"/>
  <c r="B176" i="26"/>
  <c r="I240" i="26"/>
  <c r="F220" i="26"/>
  <c r="I227" i="26"/>
  <c r="B196" i="26"/>
  <c r="G179" i="26"/>
  <c r="C143" i="26"/>
  <c r="D231" i="26"/>
  <c r="G175" i="26"/>
  <c r="C125" i="26"/>
  <c r="D219" i="26"/>
  <c r="B124" i="26"/>
  <c r="G222" i="26"/>
  <c r="B221" i="26"/>
  <c r="F104" i="26"/>
  <c r="E237" i="26"/>
  <c r="G197" i="26"/>
  <c r="H173" i="26"/>
  <c r="H107" i="26"/>
  <c r="G206" i="26"/>
  <c r="G264" i="26"/>
  <c r="G223" i="26"/>
  <c r="H101" i="26"/>
  <c r="I239" i="26"/>
  <c r="F102" i="26"/>
  <c r="D122" i="26"/>
  <c r="H176" i="26"/>
  <c r="C216" i="26"/>
  <c r="E105" i="26"/>
  <c r="C265" i="26"/>
  <c r="G111" i="26"/>
  <c r="E132" i="26"/>
  <c r="H180" i="26"/>
  <c r="H172" i="26"/>
  <c r="D212" i="26"/>
  <c r="C241" i="26"/>
  <c r="G143" i="26"/>
  <c r="D270" i="26"/>
  <c r="E190" i="26"/>
  <c r="H188" i="26"/>
  <c r="H165" i="26"/>
  <c r="F244" i="26"/>
  <c r="F192" i="26"/>
  <c r="G207" i="26"/>
  <c r="D222" i="26"/>
  <c r="E239" i="26"/>
  <c r="F223" i="26"/>
  <c r="G194" i="26"/>
  <c r="F110" i="26"/>
  <c r="E242" i="26"/>
  <c r="H129" i="26"/>
  <c r="G239" i="26"/>
  <c r="F238" i="26"/>
  <c r="C226" i="26"/>
  <c r="B170" i="26"/>
  <c r="F115" i="26"/>
  <c r="B151" i="26"/>
  <c r="E222" i="26"/>
  <c r="B180" i="26"/>
  <c r="C103" i="26"/>
  <c r="E243" i="26"/>
  <c r="B191" i="26"/>
  <c r="H99" i="26"/>
  <c r="C153" i="26"/>
  <c r="D106" i="26"/>
  <c r="D126" i="26"/>
  <c r="B177" i="26"/>
  <c r="E216" i="26"/>
  <c r="E100" i="26"/>
  <c r="F185" i="26"/>
  <c r="D239" i="26"/>
  <c r="H237" i="26"/>
  <c r="B128" i="26"/>
  <c r="G230" i="26"/>
  <c r="I210" i="26"/>
  <c r="E116" i="26"/>
  <c r="C235" i="26"/>
  <c r="B188" i="26"/>
  <c r="I186" i="26"/>
  <c r="F239" i="26"/>
  <c r="I222" i="26"/>
  <c r="E113" i="26"/>
  <c r="F109" i="26"/>
  <c r="D181" i="26"/>
  <c r="E240" i="26"/>
  <c r="E219" i="26"/>
  <c r="C127" i="26"/>
  <c r="D104" i="26"/>
  <c r="E104" i="26"/>
  <c r="H197" i="26"/>
  <c r="C147" i="26"/>
  <c r="I168" i="26"/>
  <c r="I135" i="26"/>
  <c r="G196" i="26"/>
  <c r="H238" i="26"/>
  <c r="H209" i="26"/>
  <c r="E209" i="26"/>
  <c r="I187" i="26"/>
  <c r="D196" i="26"/>
  <c r="G211" i="26"/>
  <c r="H217" i="26"/>
  <c r="D217" i="26"/>
  <c r="G180" i="26"/>
  <c r="F171" i="26"/>
  <c r="D226" i="26"/>
  <c r="H189" i="26"/>
  <c r="H100" i="26"/>
  <c r="I231" i="26"/>
  <c r="C171" i="26"/>
  <c r="E217" i="26"/>
  <c r="C173" i="26"/>
  <c r="H159" i="26"/>
  <c r="H187" i="26"/>
  <c r="C109" i="26"/>
  <c r="B241" i="26"/>
  <c r="C211" i="26"/>
  <c r="G221" i="26"/>
  <c r="F213" i="26"/>
  <c r="E269" i="26"/>
  <c r="C225" i="26"/>
  <c r="B99" i="26"/>
  <c r="F123" i="26"/>
  <c r="C105" i="26"/>
  <c r="F225" i="26"/>
  <c r="H192" i="26"/>
  <c r="G181" i="26"/>
  <c r="D240" i="26"/>
  <c r="B169" i="26"/>
  <c r="C197" i="26"/>
  <c r="C187" i="26"/>
  <c r="D228" i="26"/>
  <c r="D166" i="26"/>
  <c r="C108" i="26"/>
  <c r="G236" i="26"/>
  <c r="B154" i="26"/>
  <c r="F265" i="26"/>
  <c r="E221" i="26"/>
  <c r="G126" i="26"/>
  <c r="F272" i="26"/>
  <c r="B231" i="26"/>
  <c r="B181" i="26"/>
  <c r="D223" i="26"/>
  <c r="C264" i="26"/>
  <c r="C166" i="26"/>
  <c r="D229" i="26"/>
  <c r="B110" i="26"/>
  <c r="G101" i="26"/>
  <c r="F108" i="26"/>
  <c r="I270" i="26"/>
  <c r="H242" i="26"/>
  <c r="D182" i="26"/>
  <c r="D242" i="26"/>
  <c r="F217" i="26"/>
  <c r="D129" i="26"/>
  <c r="D176" i="26"/>
  <c r="G243" i="26"/>
  <c r="F183" i="26"/>
  <c r="E229" i="26"/>
  <c r="I176" i="26"/>
  <c r="D184" i="26"/>
  <c r="F234" i="26"/>
  <c r="I229" i="26"/>
  <c r="C175" i="26"/>
  <c r="G192" i="26"/>
  <c r="C220" i="26"/>
  <c r="D100" i="26"/>
  <c r="G220" i="26"/>
  <c r="D191" i="26"/>
  <c r="H190" i="26"/>
  <c r="E175" i="26"/>
  <c r="I105" i="26"/>
  <c r="G109" i="26"/>
  <c r="B108" i="26"/>
  <c r="I236" i="26"/>
  <c r="I141" i="26"/>
  <c r="D210" i="26"/>
  <c r="D265" i="26"/>
  <c r="C207" i="26"/>
  <c r="H225" i="26"/>
  <c r="E208" i="26"/>
  <c r="F103" i="26"/>
  <c r="B186" i="26"/>
  <c r="E187" i="26"/>
  <c r="D185" i="26"/>
  <c r="E109" i="26"/>
  <c r="I193" i="26"/>
  <c r="F193" i="26"/>
  <c r="C213" i="26"/>
  <c r="H193" i="26"/>
  <c r="G177" i="26"/>
  <c r="G272" i="26"/>
  <c r="E206" i="26"/>
  <c r="H109" i="26"/>
  <c r="H106" i="26"/>
  <c r="E224" i="26"/>
  <c r="H212" i="26"/>
  <c r="H207" i="26"/>
  <c r="G133" i="26"/>
  <c r="G217" i="26"/>
  <c r="G219" i="26"/>
  <c r="D236" i="26"/>
  <c r="B100" i="26"/>
  <c r="E99" i="26"/>
  <c r="I173" i="26"/>
  <c r="E272" i="26"/>
  <c r="I182" i="26"/>
  <c r="C232" i="26"/>
  <c r="H206" i="26"/>
  <c r="F151" i="26"/>
  <c r="I107" i="26"/>
  <c r="G112" i="26"/>
  <c r="B209" i="26"/>
  <c r="I101" i="26"/>
  <c r="H270" i="26"/>
  <c r="H241" i="26"/>
  <c r="I155" i="26"/>
  <c r="B103" i="26"/>
  <c r="C262" i="26"/>
  <c r="C236" i="26"/>
  <c r="G121" i="26"/>
  <c r="I108" i="26"/>
  <c r="C223" i="26"/>
  <c r="D209" i="26"/>
  <c r="E207" i="26"/>
  <c r="E189" i="26"/>
  <c r="H228" i="26"/>
  <c r="B236" i="26"/>
  <c r="D174" i="26"/>
  <c r="D238" i="26"/>
  <c r="G188" i="26"/>
  <c r="G210" i="26"/>
  <c r="I171" i="26"/>
  <c r="E121" i="26"/>
  <c r="C209" i="26"/>
  <c r="D117" i="26"/>
  <c r="E226" i="26"/>
  <c r="G235" i="26"/>
  <c r="I215" i="26"/>
  <c r="H244" i="26"/>
  <c r="B224" i="26"/>
  <c r="B165" i="26"/>
  <c r="D132" i="26"/>
  <c r="I225" i="26"/>
  <c r="B113" i="26"/>
  <c r="C188" i="26"/>
  <c r="F208" i="26"/>
  <c r="F240" i="26"/>
  <c r="C101" i="26"/>
  <c r="E182" i="26"/>
  <c r="F139" i="26"/>
  <c r="F207" i="26"/>
  <c r="F189" i="26"/>
  <c r="F206" i="26"/>
  <c r="E223" i="26"/>
  <c r="I180" i="26"/>
  <c r="G146" i="26"/>
  <c r="E122" i="26"/>
  <c r="I195" i="26"/>
  <c r="B153" i="26"/>
  <c r="F227" i="26"/>
  <c r="E177" i="26"/>
  <c r="G169" i="26"/>
  <c r="C263" i="26"/>
  <c r="I169" i="26"/>
  <c r="D112" i="26"/>
  <c r="D173" i="26"/>
  <c r="E232" i="26"/>
  <c r="D99" i="26"/>
  <c r="E244" i="26"/>
  <c r="F196" i="26"/>
  <c r="D186" i="26"/>
  <c r="E169" i="26"/>
  <c r="C227" i="26"/>
  <c r="H211" i="26"/>
  <c r="B243" i="26"/>
  <c r="B220" i="26"/>
  <c r="C194" i="26"/>
  <c r="H136" i="26"/>
  <c r="G193" i="26"/>
  <c r="F186" i="26"/>
  <c r="B206" i="26"/>
  <c r="B218" i="26"/>
  <c r="F100" i="26"/>
  <c r="I263" i="26"/>
  <c r="I242" i="26"/>
  <c r="I190" i="26"/>
  <c r="I220" i="26"/>
  <c r="H213" i="26"/>
  <c r="D107" i="26"/>
  <c r="G140" i="26"/>
  <c r="F118" i="26"/>
  <c r="D171" i="26"/>
  <c r="I151" i="26"/>
  <c r="D190" i="26"/>
  <c r="G99" i="26"/>
  <c r="F105" i="26"/>
  <c r="F158" i="26"/>
  <c r="B219" i="26"/>
  <c r="H179" i="26"/>
  <c r="C206" i="26"/>
  <c r="C190" i="26"/>
  <c r="I113" i="26"/>
  <c r="F182" i="26"/>
  <c r="B240" i="26"/>
  <c r="F209" i="26"/>
  <c r="G182" i="26"/>
  <c r="H272" i="26"/>
  <c r="C230" i="26"/>
  <c r="I125" i="26"/>
  <c r="F178" i="26"/>
  <c r="C182" i="26"/>
  <c r="C169" i="26"/>
  <c r="E225" i="26"/>
  <c r="F243" i="26"/>
  <c r="D187" i="26"/>
  <c r="E231" i="26"/>
  <c r="G106" i="26"/>
  <c r="B207" i="26"/>
  <c r="I237" i="26"/>
  <c r="I102" i="26"/>
  <c r="G215" i="26"/>
  <c r="G113" i="26"/>
  <c r="D179" i="26"/>
  <c r="B226" i="26"/>
  <c r="G103" i="26"/>
  <c r="F179" i="26"/>
  <c r="D271" i="26"/>
  <c r="C222" i="26"/>
  <c r="E123" i="26"/>
  <c r="E170" i="26"/>
  <c r="C167" i="26"/>
  <c r="H216" i="26"/>
  <c r="B228" i="26"/>
  <c r="E111" i="26"/>
  <c r="G166" i="26"/>
  <c r="H186" i="26"/>
  <c r="E106" i="26"/>
  <c r="G209" i="26"/>
  <c r="B212" i="26"/>
  <c r="C134" i="26"/>
  <c r="H224" i="26"/>
  <c r="E220" i="26"/>
  <c r="B262" i="26"/>
  <c r="B233" i="26"/>
  <c r="I112" i="26"/>
  <c r="B184" i="26"/>
  <c r="E167" i="26"/>
  <c r="F180" i="26"/>
  <c r="E112" i="26"/>
  <c r="H236" i="26"/>
  <c r="G262" i="26"/>
  <c r="H166" i="26"/>
  <c r="F228" i="26"/>
  <c r="F270" i="26"/>
  <c r="C219" i="26"/>
  <c r="B122" i="26"/>
  <c r="G212" i="26"/>
  <c r="C177" i="26"/>
  <c r="H218" i="26"/>
  <c r="H221" i="26"/>
  <c r="I224" i="26"/>
  <c r="G183" i="26"/>
  <c r="E142" i="26"/>
  <c r="D224" i="26"/>
  <c r="G240" i="26"/>
  <c r="G225" i="26"/>
  <c r="G216" i="26"/>
  <c r="D111" i="26"/>
  <c r="H178" i="26"/>
  <c r="D264" i="26"/>
  <c r="F214" i="26"/>
  <c r="E185" i="26"/>
  <c r="B175" i="26"/>
  <c r="B172" i="26"/>
  <c r="H232" i="26"/>
  <c r="I216" i="26"/>
  <c r="I241" i="26"/>
  <c r="G156" i="26"/>
  <c r="I219" i="26"/>
  <c r="H108" i="26"/>
  <c r="E241" i="26"/>
  <c r="I110" i="26"/>
  <c r="E197" i="26"/>
  <c r="G226" i="26"/>
  <c r="G178" i="26"/>
  <c r="B215" i="26"/>
  <c r="C165" i="26"/>
  <c r="G265" i="26"/>
  <c r="B102" i="26"/>
  <c r="G186" i="26"/>
  <c r="C237" i="26"/>
  <c r="I214" i="26"/>
  <c r="B263" i="26"/>
  <c r="D152" i="26"/>
  <c r="D218" i="26"/>
  <c r="C114" i="26"/>
  <c r="G238" i="26"/>
  <c r="I221" i="26"/>
  <c r="F218" i="26"/>
  <c r="D189" i="26"/>
  <c r="E107" i="26"/>
  <c r="I178" i="26"/>
  <c r="F153" i="26"/>
  <c r="H171" i="26"/>
  <c r="G172" i="26"/>
  <c r="F172" i="26"/>
  <c r="F216" i="26"/>
  <c r="E264" i="26"/>
  <c r="E110" i="26"/>
  <c r="I264" i="26"/>
  <c r="H168" i="26"/>
  <c r="I109" i="26"/>
  <c r="E194" i="26"/>
  <c r="E227" i="26"/>
  <c r="E195" i="26"/>
  <c r="E166" i="26"/>
  <c r="F229" i="26"/>
  <c r="D109" i="26"/>
  <c r="G231" i="26"/>
  <c r="G170" i="26"/>
  <c r="I184" i="26"/>
  <c r="D133" i="26"/>
  <c r="I212" i="26"/>
  <c r="G130" i="26"/>
  <c r="H184" i="26"/>
  <c r="F226" i="26"/>
  <c r="I153" i="26"/>
  <c r="H105" i="26"/>
  <c r="H110" i="26"/>
  <c r="F197" i="26"/>
  <c r="E218" i="26"/>
  <c r="B242" i="26"/>
  <c r="F175" i="26"/>
  <c r="F191" i="26"/>
  <c r="F101" i="26"/>
  <c r="G100" i="26"/>
  <c r="H113" i="26"/>
  <c r="C270" i="26"/>
  <c r="D102" i="26"/>
  <c r="I189" i="26"/>
  <c r="I207" i="26"/>
  <c r="F210" i="26"/>
  <c r="B179" i="26"/>
  <c r="B213" i="26"/>
  <c r="H240" i="26"/>
  <c r="B244" i="26"/>
  <c r="I165" i="26"/>
  <c r="I170" i="26"/>
  <c r="C191" i="26"/>
  <c r="I154" i="26"/>
  <c r="C224" i="26"/>
  <c r="C189" i="26"/>
  <c r="I191" i="26"/>
  <c r="G114" i="26"/>
  <c r="I143" i="26"/>
  <c r="G263" i="26"/>
  <c r="C243" i="26"/>
  <c r="F181" i="26"/>
  <c r="C269" i="26"/>
  <c r="I218" i="26"/>
  <c r="D195" i="26"/>
  <c r="G237" i="26"/>
  <c r="D168" i="26"/>
  <c r="C104" i="26"/>
  <c r="H263" i="26"/>
  <c r="D139" i="26"/>
  <c r="H194" i="26"/>
  <c r="C181" i="26"/>
  <c r="I106" i="26"/>
  <c r="B190" i="26"/>
  <c r="E263" i="26"/>
  <c r="F157" i="26"/>
  <c r="F166" i="26"/>
  <c r="H167" i="26"/>
  <c r="F211" i="26"/>
  <c r="F236" i="26"/>
  <c r="F113" i="26"/>
  <c r="F167" i="26"/>
  <c r="I188" i="26"/>
  <c r="F233" i="26"/>
  <c r="I271" i="26"/>
  <c r="I244" i="26"/>
  <c r="H215" i="26"/>
  <c r="D177" i="26"/>
  <c r="E124" i="26"/>
  <c r="G189" i="26"/>
  <c r="E180" i="26"/>
  <c r="H231" i="26"/>
  <c r="C106" i="26"/>
  <c r="H123" i="26"/>
  <c r="C242" i="26"/>
  <c r="H156" i="26"/>
  <c r="E210" i="26"/>
  <c r="I136" i="26"/>
  <c r="G185" i="26"/>
  <c r="D227" i="26"/>
  <c r="H195" i="26"/>
  <c r="I179" i="26"/>
  <c r="G108" i="26"/>
  <c r="F212" i="26"/>
  <c r="B112" i="26"/>
  <c r="G155" i="26"/>
  <c r="G233" i="26"/>
  <c r="E215" i="26"/>
  <c r="D221" i="26"/>
  <c r="H265" i="26"/>
  <c r="F174" i="26"/>
  <c r="E183" i="26"/>
  <c r="B217" i="26"/>
  <c r="H191" i="26"/>
  <c r="I197" i="26"/>
  <c r="F230" i="26"/>
  <c r="C238" i="26"/>
  <c r="B195" i="26"/>
  <c r="B185" i="26"/>
  <c r="E188" i="26"/>
  <c r="G191" i="26"/>
  <c r="C154" i="26"/>
  <c r="E236" i="26"/>
  <c r="I185" i="26"/>
  <c r="B208" i="26"/>
  <c r="E173" i="26"/>
  <c r="F184" i="26"/>
  <c r="I174" i="26"/>
  <c r="B235" i="26"/>
  <c r="B125" i="26"/>
  <c r="E230" i="26"/>
  <c r="H264" i="26"/>
  <c r="E126" i="26"/>
  <c r="I211" i="26"/>
  <c r="H182" i="26"/>
  <c r="B168" i="26"/>
  <c r="I104" i="26"/>
  <c r="H174" i="26"/>
  <c r="I262" i="26"/>
  <c r="D105" i="26"/>
  <c r="F215" i="26"/>
  <c r="C172" i="26"/>
  <c r="E193" i="26"/>
  <c r="E102" i="26"/>
  <c r="D183" i="26"/>
  <c r="D263" i="26"/>
  <c r="D113" i="26"/>
  <c r="B232" i="26"/>
  <c r="B187" i="26"/>
  <c r="C208" i="26"/>
  <c r="G110" i="26"/>
  <c r="F221" i="26"/>
  <c r="D130" i="26"/>
  <c r="F195" i="26"/>
  <c r="I192" i="26"/>
  <c r="B193" i="26"/>
  <c r="C218" i="26"/>
  <c r="I208" i="26"/>
  <c r="C138" i="26"/>
  <c r="I233" i="26"/>
  <c r="C234" i="26"/>
  <c r="B272" i="26"/>
  <c r="D169" i="26"/>
  <c r="D237" i="26"/>
  <c r="I226" i="26"/>
  <c r="K62" i="7" l="1"/>
  <c r="R236" i="26" s="1"/>
  <c r="Q236" i="26"/>
  <c r="G34" i="26" s="1"/>
  <c r="Q319" i="26"/>
  <c r="G88" i="26" s="1"/>
  <c r="K28" i="6"/>
  <c r="R319" i="26" s="1"/>
  <c r="K63" i="7"/>
  <c r="R237" i="26" s="1"/>
  <c r="Q237" i="26"/>
  <c r="G35" i="26" s="1"/>
  <c r="Q326" i="26"/>
  <c r="G92" i="26" s="1"/>
  <c r="K56" i="6"/>
  <c r="R326" i="26" s="1"/>
  <c r="I12" i="26" l="1"/>
  <c r="I92" i="26"/>
  <c r="I8" i="26"/>
  <c r="I88" i="26"/>
  <c r="I17" i="26"/>
  <c r="I35" i="26"/>
  <c r="I16" i="26"/>
  <c r="I34" i="26"/>
  <c r="N326" i="33"/>
  <c r="M326" i="33" s="1"/>
  <c r="H3"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AAP</author>
  </authors>
  <commentList>
    <comment ref="B7" authorId="0" shapeId="0" xr:uid="{E45E801E-6E3D-431B-B708-DE1191C90B96}">
      <text>
        <r>
          <rPr>
            <b/>
            <sz val="9"/>
            <color indexed="81"/>
            <rFont val="Tahoma"/>
            <family val="2"/>
          </rPr>
          <t>Not part of Atlas Copco's price list May 2022.</t>
        </r>
      </text>
    </comment>
    <comment ref="J940" authorId="0" shapeId="0" xr:uid="{A8140341-6A42-4AE0-A08F-2AC3F87BE8CD}">
      <text>
        <r>
          <rPr>
            <b/>
            <sz val="9"/>
            <color indexed="81"/>
            <rFont val="Tahoma"/>
            <family val="2"/>
          </rPr>
          <t>Not part of Atlas Copco's price list May &amp; Oct 2022.</t>
        </r>
      </text>
    </comment>
  </commentList>
</comments>
</file>

<file path=xl/sharedStrings.xml><?xml version="1.0" encoding="utf-8"?>
<sst xmlns="http://schemas.openxmlformats.org/spreadsheetml/2006/main" count="3768" uniqueCount="1874">
  <si>
    <t>Category</t>
  </si>
  <si>
    <t>Size</t>
  </si>
  <si>
    <t>20 / ¾"</t>
  </si>
  <si>
    <t>25 / 1"</t>
  </si>
  <si>
    <t>40 / 1½"</t>
  </si>
  <si>
    <t>50 / 2"</t>
  </si>
  <si>
    <t>63 / 2½"</t>
  </si>
  <si>
    <t>80 / 3"</t>
  </si>
  <si>
    <t>S Bend</t>
  </si>
  <si>
    <t>100 / 4"</t>
  </si>
  <si>
    <t>158 / 6"</t>
  </si>
  <si>
    <t>Reduced Size</t>
  </si>
  <si>
    <t>4 / 100"</t>
  </si>
  <si>
    <t>Straight Connection</t>
  </si>
  <si>
    <t>Sub Category</t>
  </si>
  <si>
    <t>Pipe</t>
  </si>
  <si>
    <t>Compressed Air</t>
  </si>
  <si>
    <t>Equal Union</t>
  </si>
  <si>
    <t>Elbow</t>
  </si>
  <si>
    <t>Tee</t>
  </si>
  <si>
    <t>3/8"</t>
  </si>
  <si>
    <t>1/2"</t>
  </si>
  <si>
    <t>1"</t>
  </si>
  <si>
    <t>3/4"</t>
  </si>
  <si>
    <t>2"</t>
  </si>
  <si>
    <t>2 1/2"</t>
  </si>
  <si>
    <t>3"</t>
  </si>
  <si>
    <t>Valves</t>
  </si>
  <si>
    <t>Support Valve / Flange</t>
  </si>
  <si>
    <t>Ball PF Series</t>
  </si>
  <si>
    <t>Quick Drops</t>
  </si>
  <si>
    <t>PF Series</t>
  </si>
  <si>
    <r>
      <t xml:space="preserve">AIRnet </t>
    </r>
    <r>
      <rPr>
        <b/>
        <sz val="11"/>
        <color theme="1"/>
        <rFont val="Calibri"/>
        <family val="2"/>
      </rPr>
      <t>Φ</t>
    </r>
  </si>
  <si>
    <r>
      <t xml:space="preserve">Drop Leg </t>
    </r>
    <r>
      <rPr>
        <b/>
        <sz val="11"/>
        <color theme="1"/>
        <rFont val="Calibri"/>
        <family val="2"/>
      </rPr>
      <t>Φ</t>
    </r>
  </si>
  <si>
    <r>
      <t xml:space="preserve">Threaded Outlet </t>
    </r>
    <r>
      <rPr>
        <b/>
        <sz val="11"/>
        <color theme="1"/>
        <rFont val="Calibri"/>
        <family val="2"/>
      </rPr>
      <t>Φ</t>
    </r>
  </si>
  <si>
    <t>Aluminum PF Series</t>
  </si>
  <si>
    <t>1 1/4"</t>
  </si>
  <si>
    <t>1 1/2"</t>
  </si>
  <si>
    <t>Threaded Connection</t>
  </si>
  <si>
    <r>
      <t xml:space="preserve">Threaded Inlet </t>
    </r>
    <r>
      <rPr>
        <b/>
        <sz val="11"/>
        <color theme="1"/>
        <rFont val="Calibri"/>
        <family val="2"/>
      </rPr>
      <t>Φ</t>
    </r>
  </si>
  <si>
    <t>ANSI</t>
  </si>
  <si>
    <t>Flange Accessories</t>
  </si>
  <si>
    <t>Flat Gasket</t>
  </si>
  <si>
    <t>Description</t>
  </si>
  <si>
    <t>End Cap</t>
  </si>
  <si>
    <t>Flexible Hoses</t>
  </si>
  <si>
    <t>Cantilever Arm</t>
  </si>
  <si>
    <t>21"</t>
  </si>
  <si>
    <t>Length</t>
  </si>
  <si>
    <t>12"</t>
  </si>
  <si>
    <t>6'</t>
  </si>
  <si>
    <t>Thread</t>
  </si>
  <si>
    <t>3/8" UNC</t>
  </si>
  <si>
    <t>Lot Size</t>
  </si>
  <si>
    <t>Adaptor Bolts</t>
  </si>
  <si>
    <t>Comment</t>
  </si>
  <si>
    <t>Use with 3/4" - 2" Pipe Clips</t>
  </si>
  <si>
    <t>Use with 2 1/2" &amp; 3" Pipe Clips</t>
  </si>
  <si>
    <t>Use with 6" Pipe Clips</t>
  </si>
  <si>
    <t>Screw Beam Clamps</t>
  </si>
  <si>
    <t>1/4"</t>
  </si>
  <si>
    <t>5/16"</t>
  </si>
  <si>
    <t>Spare Parts</t>
  </si>
  <si>
    <t>Nuts &amp; Bolts</t>
  </si>
  <si>
    <t>Adaptor Union (NPT)</t>
  </si>
  <si>
    <t>Reducing Bushings</t>
  </si>
  <si>
    <t>Tools</t>
  </si>
  <si>
    <t>Tool Box</t>
  </si>
  <si>
    <t>3/4" - 2"</t>
  </si>
  <si>
    <t>Pipe Deburrer</t>
  </si>
  <si>
    <t>2 1/2" - 6"</t>
  </si>
  <si>
    <t>3/4" - 4"</t>
  </si>
  <si>
    <t>2" - 6"</t>
  </si>
  <si>
    <t>L Keys</t>
  </si>
  <si>
    <t>Pipe Cutters</t>
  </si>
  <si>
    <t>110V Electric</t>
  </si>
  <si>
    <t>Hole Saw</t>
  </si>
  <si>
    <t>19mm / 3/4"</t>
  </si>
  <si>
    <t>14mm / 9/16"</t>
  </si>
  <si>
    <t>24mm / 1"</t>
  </si>
  <si>
    <t>Classic Series 1" drops &amp; Threaded 3/4" drops</t>
  </si>
  <si>
    <t>1" - 3"</t>
  </si>
  <si>
    <t>Torque Wrench</t>
  </si>
  <si>
    <t>Threaded Butterfly Valve (NPT)</t>
  </si>
  <si>
    <t>Manifold - Wall Mounted</t>
  </si>
  <si>
    <t>1/4" UNC - 3/8" UNC</t>
  </si>
  <si>
    <t>5/16" UNC - 3/8" UNC</t>
  </si>
  <si>
    <t>M10 - 3/8" UNC</t>
  </si>
  <si>
    <t>AIRnet Connection</t>
  </si>
  <si>
    <t>Additonal Info</t>
  </si>
  <si>
    <t xml:space="preserve">Aluminum Pipe  (length 18.7 ft)   </t>
  </si>
  <si>
    <t>6"</t>
  </si>
  <si>
    <t>Aluminum Pipe Nitrogen</t>
  </si>
  <si>
    <t xml:space="preserve">Aluminum Pipe Nitrogen </t>
  </si>
  <si>
    <t>S-Bend (package of 5)</t>
  </si>
  <si>
    <t>Pipe Clip (box of 20)</t>
  </si>
  <si>
    <t>4"</t>
  </si>
  <si>
    <t>Pipe Clip ( 1 each)</t>
  </si>
  <si>
    <t>Pipe Clip (box of 10)</t>
  </si>
  <si>
    <t>Pipe Clip Spacer (box of 10)</t>
  </si>
  <si>
    <t>P/N</t>
  </si>
  <si>
    <t>Equal Union  (Push to Fit Series)</t>
  </si>
  <si>
    <t>Reduction Union  (Push to Fit Series)</t>
  </si>
  <si>
    <t>Reduction Union</t>
  </si>
  <si>
    <t>90° Elbow (Push to Fit Series)</t>
  </si>
  <si>
    <t>90° Elbow</t>
  </si>
  <si>
    <t>45° Elbow  (Push to Fit Series)</t>
  </si>
  <si>
    <t>45° Elbow</t>
  </si>
  <si>
    <t>Equal Tee  (Push to Fit Series)</t>
  </si>
  <si>
    <t>Equal Tee</t>
  </si>
  <si>
    <t>Reducing Tee  (Push to Fit Series)</t>
  </si>
  <si>
    <t>Reducing Tee</t>
  </si>
  <si>
    <t>Threaded Reducing Tee (NPT reduced outlet - PF Series)</t>
  </si>
  <si>
    <t>Threaded Reducing Tee (NPT reduced outlet)</t>
  </si>
  <si>
    <t xml:space="preserve">Quick Drop (PF Series) </t>
  </si>
  <si>
    <t>Quick Drop NPT Female</t>
  </si>
  <si>
    <t>Quick Drop NPT Female (PF Series)</t>
  </si>
  <si>
    <t>Threaded Connector NPT Male (Push to Fit Series)</t>
  </si>
  <si>
    <t>Threaded Connector NPT Male</t>
  </si>
  <si>
    <t>Threaded Connector NPT Female</t>
  </si>
  <si>
    <t>Threaded Connector NPT Female/Union (Push to Fit Series)</t>
  </si>
  <si>
    <t>Union Adapter NPT Female</t>
  </si>
  <si>
    <t>NPT Reduction Kit (Push to Fit Series)</t>
  </si>
  <si>
    <t>End Cap (Push to Fit Series)</t>
  </si>
  <si>
    <t>End Cap (used for both 4" &amp; 6" pipe)</t>
  </si>
  <si>
    <t>Flange (Dual use ANSI &amp; DIN)</t>
  </si>
  <si>
    <t>Flange (ANSI)</t>
  </si>
  <si>
    <t>Flange Accessories (Flat Gasket)</t>
  </si>
  <si>
    <t>Flange Support</t>
  </si>
  <si>
    <t>Wall Mounted Manifold</t>
  </si>
  <si>
    <t>Wall Mounted Manifold (NPT Connection)</t>
  </si>
  <si>
    <t>Spare Parts Fittings (internal parts / Push to Fit Series)</t>
  </si>
  <si>
    <t>Spare Parts Fittings (internal parts)</t>
  </si>
  <si>
    <t>Spare Parts (o-rings)</t>
  </si>
  <si>
    <t>Spare Parts 4" Equal Connector (bolts &amp; Pins)</t>
  </si>
  <si>
    <t>Spare Parts 4" Equal Connector (Seal)</t>
  </si>
  <si>
    <t>NPT Threaded AIRnet valve (Push to Fit Series)</t>
  </si>
  <si>
    <t>NPT Threaded AIRnet valve</t>
  </si>
  <si>
    <t>AIRnet valve (Push to Fit Series)</t>
  </si>
  <si>
    <t>AIRnet valve</t>
  </si>
  <si>
    <t>AIRnet valve support (for frequently operated valves)</t>
  </si>
  <si>
    <t>Standard Ball Valves - NPT</t>
  </si>
  <si>
    <t>AIRnet Butterfly Valve 100 mm</t>
  </si>
  <si>
    <t>Long Bolts (1 pack / Butterfly valve)</t>
  </si>
  <si>
    <t>AIRnet Butterfly Valve 158 mm</t>
  </si>
  <si>
    <t>Accessories</t>
  </si>
  <si>
    <t>1/4"FNPT</t>
  </si>
  <si>
    <t>Safety Coupler / ARO Profile - 1/4" body size</t>
  </si>
  <si>
    <t>Safety Coupler / Industrial Interchange - 1/4" body</t>
  </si>
  <si>
    <t>1/4" MNPT</t>
  </si>
  <si>
    <t>Quick disconnect plug - ARO Profile</t>
  </si>
  <si>
    <t>1/4" FNPT</t>
  </si>
  <si>
    <t>Quick disconnect plug - FNPT ARO Profile</t>
  </si>
  <si>
    <t>Quick disconnect plug - MNPT Industrial Profile</t>
  </si>
  <si>
    <t>Quick disconnect plug - FNPT Industrial Profile</t>
  </si>
  <si>
    <t>Hose Reel 300 PSI Open Reel (50FT)</t>
  </si>
  <si>
    <t>Hose Reel 300 PSI Open Reel (30FT)</t>
  </si>
  <si>
    <t>Hose Reel 300 PSI Enclosed Reel (50FT)</t>
  </si>
  <si>
    <t>Shop Hose 3/8" ID 300 PSI</t>
  </si>
  <si>
    <t>FRL - 1/2" Filter / Regulator</t>
  </si>
  <si>
    <t>FRL - 1/2" Filter Regulator + Lubricator</t>
  </si>
  <si>
    <t>FR L- Replacement cartridges 5 microns</t>
  </si>
  <si>
    <t>FRL - Convertf rom 1/2" to 3/8" port size</t>
  </si>
  <si>
    <t>FRL - Mounting Blocks - attach to each other</t>
  </si>
  <si>
    <t>FRL - Mounting Blocks to each othe r&amp; wall</t>
  </si>
  <si>
    <t>FRL - Mounting Blocks to mount regulator</t>
  </si>
  <si>
    <t>FRL - Replacement Pressure Gauge</t>
  </si>
  <si>
    <t>Spiral Hose</t>
  </si>
  <si>
    <t>Flexible Hoses NPT</t>
  </si>
  <si>
    <t>1/4" Threaded Rod - 6' length</t>
  </si>
  <si>
    <t>5/16" Threaded Rod - 6' length</t>
  </si>
  <si>
    <t>3/8" Threaded Rod - 6' length</t>
  </si>
  <si>
    <t>Threaded Rod Adapter - (3/4" - 2" New Pipe Clips)</t>
  </si>
  <si>
    <t>Threaded Rod Adapter - (2 1/2" - 3" New Pipe Clips)</t>
  </si>
  <si>
    <t>Threaded Rod Adapter - (6")</t>
  </si>
  <si>
    <t>Screw beam Clamp</t>
  </si>
  <si>
    <t>Cantilever arm (pkg of 5)</t>
  </si>
  <si>
    <t>Cantilever arm</t>
  </si>
  <si>
    <t>Wall Bracket (pkg of 5) -to mount Profile Channel</t>
  </si>
  <si>
    <t>Profile Channel (pkg of 5)</t>
  </si>
  <si>
    <t>T-Bolts - Use with cantilever arm and pipe clips</t>
  </si>
  <si>
    <t>Protection cap</t>
  </si>
  <si>
    <t>Loop Hangers (pkg of 5)</t>
  </si>
  <si>
    <t>Loop Hangers (pkg of 10)</t>
  </si>
  <si>
    <t>1/4" Stud Hangers (pkg of 5)</t>
  </si>
  <si>
    <t>1/4" Stud Hangers (pkg of 10)</t>
  </si>
  <si>
    <t>90º Eyelet Hangers (pkg of 5)</t>
  </si>
  <si>
    <t>90º Eyelet Hangers (pkg of 10)</t>
  </si>
  <si>
    <t>Gripple Cutters</t>
  </si>
  <si>
    <t>AIRnet Spanner / Depth Gauge (Push to Fit Series)</t>
  </si>
  <si>
    <t>AIRnet Spanner</t>
  </si>
  <si>
    <t>AIRnet Spanner Wrench (Belt type)</t>
  </si>
  <si>
    <t>AIRnet Pipe marker - Belt Ring (PF Series)</t>
  </si>
  <si>
    <t>Aluminum Pipe Cutter</t>
  </si>
  <si>
    <t>Aluminum Pipe Cutter - spare cutting wheel</t>
  </si>
  <si>
    <t>Aluminum Pipe Deburrer</t>
  </si>
  <si>
    <t>Hole deburrer - (pen type)</t>
  </si>
  <si>
    <t>Torque Wrench with head</t>
  </si>
  <si>
    <t>Torque Wrench head only</t>
  </si>
  <si>
    <t>Water Based Sliding Fluid</t>
  </si>
  <si>
    <t>Water Based Sliding Fluid (case of (4) four liter bottles)</t>
  </si>
  <si>
    <t>Hole Saw (Classic Series)</t>
  </si>
  <si>
    <t>Hole Saw (PF Series)</t>
  </si>
  <si>
    <t>Drill Bit/ Hole Saw Holder (arbor)</t>
  </si>
  <si>
    <t>L Key for Quick Drop (Classic Series)</t>
  </si>
  <si>
    <t>L Key for Quick Drop (PF Series)</t>
  </si>
  <si>
    <t>Price</t>
  </si>
  <si>
    <t>Qty</t>
  </si>
  <si>
    <r>
      <t xml:space="preserve">Strut Channel - </t>
    </r>
    <r>
      <rPr>
        <b/>
        <sz val="9"/>
        <color theme="4"/>
        <rFont val="Calibri"/>
        <family val="2"/>
        <scheme val="minor"/>
      </rPr>
      <t>(C Profile)</t>
    </r>
  </si>
  <si>
    <r>
      <t>Wall Bracket -</t>
    </r>
    <r>
      <rPr>
        <b/>
        <sz val="9"/>
        <color theme="4"/>
        <rFont val="Calibri"/>
        <family val="2"/>
        <scheme val="minor"/>
      </rPr>
      <t>(used to attach Strut Channel to wall)</t>
    </r>
  </si>
  <si>
    <t>All Thread</t>
  </si>
  <si>
    <t>Gripple Hangers</t>
  </si>
  <si>
    <t>Loop Hangers</t>
  </si>
  <si>
    <t>1/4" Stud Hangers</t>
  </si>
  <si>
    <r>
      <t xml:space="preserve">Ideal Use - </t>
    </r>
    <r>
      <rPr>
        <b/>
        <sz val="9"/>
        <color theme="4"/>
        <rFont val="Calibri"/>
        <family val="2"/>
        <scheme val="minor"/>
      </rPr>
      <t>Hanging from beams</t>
    </r>
  </si>
  <si>
    <r>
      <t xml:space="preserve">Ideal Use - </t>
    </r>
    <r>
      <rPr>
        <b/>
        <sz val="9"/>
        <color theme="4"/>
        <rFont val="Calibri"/>
        <family val="2"/>
        <scheme val="minor"/>
      </rPr>
      <t>with pipe clip 3/4" -2"</t>
    </r>
  </si>
  <si>
    <r>
      <t>90</t>
    </r>
    <r>
      <rPr>
        <b/>
        <sz val="11"/>
        <color theme="4"/>
        <rFont val="Calibri"/>
        <family val="2"/>
      </rPr>
      <t>° Eyelet</t>
    </r>
    <r>
      <rPr>
        <b/>
        <sz val="11"/>
        <color theme="4"/>
        <rFont val="Calibri"/>
        <family val="2"/>
        <scheme val="minor"/>
      </rPr>
      <t xml:space="preserve"> Hangers</t>
    </r>
  </si>
  <si>
    <r>
      <t xml:space="preserve">Ideal Use - </t>
    </r>
    <r>
      <rPr>
        <b/>
        <sz val="9"/>
        <color theme="4"/>
        <rFont val="Calibri"/>
        <family val="2"/>
        <scheme val="minor"/>
      </rPr>
      <t>with powder actuated devices</t>
    </r>
  </si>
  <si>
    <t>5' length</t>
  </si>
  <si>
    <t>Pipe Clips</t>
  </si>
  <si>
    <t>Spare Seals 4" Equal Unions</t>
  </si>
  <si>
    <t>1/2"m x 1/2"f</t>
  </si>
  <si>
    <t>3/4"m x 3/4" f</t>
  </si>
  <si>
    <t>1/2" f x 1/2"f</t>
  </si>
  <si>
    <t>3/4"f x 3/4"f</t>
  </si>
  <si>
    <t>1"f x 1"f</t>
  </si>
  <si>
    <t>1 1/4"f x 1 1/4"f</t>
  </si>
  <si>
    <t>1 1/2"f x 1 1/2"f</t>
  </si>
  <si>
    <t>2"f x 2"f</t>
  </si>
  <si>
    <t>2 1/2"f x 2 1/2"f</t>
  </si>
  <si>
    <t>3"f x 3"f</t>
  </si>
  <si>
    <t>1 pack = 8 bolts</t>
  </si>
  <si>
    <t>FRL's  - Filter Regulators Lubricators</t>
  </si>
  <si>
    <t>Filter Regulator</t>
  </si>
  <si>
    <t>Replacement cartridges 5 microns</t>
  </si>
  <si>
    <t>Convert 1/2" to 3/8" port size</t>
  </si>
  <si>
    <t>Reducing Bushing</t>
  </si>
  <si>
    <t>1/2"m      x     1/4"f</t>
  </si>
  <si>
    <t>1/2"m      x     3/8"f</t>
  </si>
  <si>
    <t>3/4"m      x     1/2"f</t>
  </si>
  <si>
    <t>1"m          x     3/4"f</t>
  </si>
  <si>
    <t>1 1/2"m   x     1"f</t>
  </si>
  <si>
    <t>2"m          x     1 1/2"f</t>
  </si>
  <si>
    <t>2 1/2"m   x     2"f</t>
  </si>
  <si>
    <t>3"m          x     2"f</t>
  </si>
  <si>
    <t>3"m          x     2 1/2"f</t>
  </si>
  <si>
    <t>3/4" straight</t>
  </si>
  <si>
    <t>1" straight</t>
  </si>
  <si>
    <t>1 1/2"" straight</t>
  </si>
  <si>
    <t>2" straight</t>
  </si>
  <si>
    <t>2 1/2 ft</t>
  </si>
  <si>
    <t>4.9 ft</t>
  </si>
  <si>
    <t>1/2" MNPT</t>
  </si>
  <si>
    <t>Spiral Hoses</t>
  </si>
  <si>
    <t>ARO Profile Plug</t>
  </si>
  <si>
    <t>Industrial Interchange Plug</t>
  </si>
  <si>
    <t>Shop Hose</t>
  </si>
  <si>
    <t>25 ft</t>
  </si>
  <si>
    <t>50 ft</t>
  </si>
  <si>
    <t xml:space="preserve">12 ft </t>
  </si>
  <si>
    <t>Threaded Quick Drops (NPT)</t>
  </si>
  <si>
    <t>Pipe to Pipe connector</t>
  </si>
  <si>
    <t>Main Size</t>
  </si>
  <si>
    <t>2½"</t>
  </si>
  <si>
    <t>63 / 2 1/2"</t>
  </si>
  <si>
    <t>63 2 1/2"</t>
  </si>
  <si>
    <t>Total</t>
  </si>
  <si>
    <t>Reducing Connections</t>
  </si>
  <si>
    <t>Hanging Material</t>
  </si>
  <si>
    <t>Straight Connections, Elbows, Tees, &amp; End Caps</t>
  </si>
  <si>
    <t>Straight Connections, Elbows, Tees,  &amp; End Caps</t>
  </si>
  <si>
    <t>Reduction connections</t>
  </si>
  <si>
    <t>Reducing Tees</t>
  </si>
  <si>
    <t>Threaded Reducing Tees</t>
  </si>
  <si>
    <t>Saddle Clamps</t>
  </si>
  <si>
    <t>100/4"</t>
  </si>
  <si>
    <t>158/6"</t>
  </si>
  <si>
    <r>
      <t xml:space="preserve">(3) Port Outlet </t>
    </r>
    <r>
      <rPr>
        <b/>
        <sz val="11"/>
        <color theme="1"/>
        <rFont val="Calibri"/>
        <family val="2"/>
      </rPr>
      <t>Φ</t>
    </r>
  </si>
  <si>
    <t>Adaptor Unions, Adaptor Kits &amp; Threaded Connectors</t>
  </si>
  <si>
    <t>Inert Gas (green pipe)</t>
  </si>
  <si>
    <t>1/2 liter bottle</t>
  </si>
  <si>
    <t>Spanner Wrenches - PF Series</t>
  </si>
  <si>
    <t>40 / 1½" - 80 / 3"</t>
  </si>
  <si>
    <t>Enter Qty Here</t>
  </si>
  <si>
    <t>Pipes &amp; Pipe Clips</t>
  </si>
  <si>
    <t>Qty ordered</t>
  </si>
  <si>
    <t>Lot</t>
  </si>
  <si>
    <t>Reducing Union</t>
  </si>
  <si>
    <t>Reducing Union PF Series</t>
  </si>
  <si>
    <t>Reducing Tee PF Series</t>
  </si>
  <si>
    <t xml:space="preserve">Reducing Tee </t>
  </si>
  <si>
    <t>Quick Connect Plugs</t>
  </si>
  <si>
    <t>Valves &amp; Flanges</t>
  </si>
  <si>
    <t>Reduced Size / Other info</t>
  </si>
  <si>
    <t>Torque Head only</t>
  </si>
  <si>
    <t>Wrench (with head)</t>
  </si>
  <si>
    <t>#</t>
  </si>
  <si>
    <t>Count</t>
  </si>
  <si>
    <t>(Flanges are included)</t>
  </si>
  <si>
    <t>Vacuum Seal</t>
  </si>
  <si>
    <t>2"- 3"</t>
  </si>
  <si>
    <t>4"- 6"</t>
  </si>
  <si>
    <t>3/4" - 1 1/2"</t>
  </si>
  <si>
    <t>All sizes - 3/4" - 6"</t>
  </si>
  <si>
    <t>Part Number</t>
  </si>
  <si>
    <t>3/4" / 3/4" NPT</t>
  </si>
  <si>
    <t>1" / 1" NPT</t>
  </si>
  <si>
    <t>1 1/2" / 1 1/2" NPT</t>
  </si>
  <si>
    <t>2" / 2" NPT</t>
  </si>
  <si>
    <t>AIRnet x NPT Connections</t>
  </si>
  <si>
    <t>AIRnet x AIRnet Connections</t>
  </si>
  <si>
    <t>NPT x NPT connections</t>
  </si>
  <si>
    <t>0650010016</t>
  </si>
  <si>
    <t>0650100127</t>
  </si>
  <si>
    <t>0650010006</t>
  </si>
  <si>
    <t>2810806400</t>
  </si>
  <si>
    <t>2810906400</t>
  </si>
  <si>
    <t>Screw beam Clamp (pkg of 10)</t>
  </si>
  <si>
    <t>Additional Info</t>
  </si>
  <si>
    <t>Accessories &amp; Hoses</t>
  </si>
  <si>
    <t>Note:</t>
  </si>
  <si>
    <t>No gaskets required for Butterfly Valves</t>
  </si>
  <si>
    <t>Pipe Clip Spacers</t>
  </si>
  <si>
    <t>20-25 / 3/4"-1"</t>
  </si>
  <si>
    <t>40-50 / 1 1/2"- 2"</t>
  </si>
  <si>
    <t>63-80 / 2 1/2" - 3"</t>
  </si>
  <si>
    <r>
      <t xml:space="preserve">AIRnet </t>
    </r>
    <r>
      <rPr>
        <b/>
        <sz val="11"/>
        <color theme="1"/>
        <rFont val="Calibri"/>
        <family val="2"/>
      </rPr>
      <t>Φ mm / inch</t>
    </r>
  </si>
  <si>
    <t>ANSI - Equal Unions required</t>
  </si>
  <si>
    <t xml:space="preserve">ANSI - Equal Unions required </t>
  </si>
  <si>
    <t>100 / 4" &amp; 158 / 6"</t>
  </si>
  <si>
    <t>50 ft - (Open reel)</t>
  </si>
  <si>
    <t>30 ft - (Open reel)</t>
  </si>
  <si>
    <t>50 ft (Enclosed reel)</t>
  </si>
  <si>
    <t>Manifold</t>
  </si>
  <si>
    <t>Manifold - Threaded</t>
  </si>
  <si>
    <t>Flange Bolts</t>
  </si>
  <si>
    <t>Connector Male NPT</t>
  </si>
  <si>
    <t>Connector Female NPT</t>
  </si>
  <si>
    <t>Pipe Clips Spacers</t>
  </si>
  <si>
    <t>Screw Beram Clamps</t>
  </si>
  <si>
    <t>15' length</t>
  </si>
  <si>
    <t>Pen Style Deburrer</t>
  </si>
  <si>
    <t>Mounting block</t>
  </si>
  <si>
    <t>Pressure Gauge</t>
  </si>
  <si>
    <t>Filter Regulator Lubricator</t>
  </si>
  <si>
    <t>O-ring (fittings)</t>
  </si>
  <si>
    <t>Pipe to Pipe or Pipe to Fitting</t>
  </si>
  <si>
    <r>
      <t>Size</t>
    </r>
    <r>
      <rPr>
        <b/>
        <sz val="12"/>
        <color theme="0"/>
        <rFont val="Calibri"/>
        <family val="2"/>
      </rPr>
      <t xml:space="preserve"> mm / in</t>
    </r>
  </si>
  <si>
    <t>Size mm / in</t>
  </si>
  <si>
    <r>
      <t xml:space="preserve">Size </t>
    </r>
    <r>
      <rPr>
        <b/>
        <sz val="12"/>
        <color theme="0"/>
        <rFont val="Calibri"/>
        <family val="2"/>
      </rPr>
      <t>mm / in</t>
    </r>
  </si>
  <si>
    <r>
      <t xml:space="preserve">Size </t>
    </r>
    <r>
      <rPr>
        <b/>
        <sz val="12"/>
        <color theme="0"/>
        <rFont val="Calibri"/>
        <family val="2"/>
      </rPr>
      <t>mm/in</t>
    </r>
  </si>
  <si>
    <t>Same End Cap for 4" &amp; 6" pipe</t>
  </si>
  <si>
    <r>
      <t xml:space="preserve"> Size </t>
    </r>
    <r>
      <rPr>
        <b/>
        <sz val="12"/>
        <color theme="0"/>
        <rFont val="Calibri"/>
        <family val="2"/>
      </rPr>
      <t>mm / in</t>
    </r>
  </si>
  <si>
    <r>
      <t xml:space="preserve">NPT size </t>
    </r>
    <r>
      <rPr>
        <b/>
        <sz val="12"/>
        <color theme="0"/>
        <rFont val="Calibri"/>
        <family val="2"/>
      </rPr>
      <t>inches</t>
    </r>
  </si>
  <si>
    <t>1/4" UNC</t>
  </si>
  <si>
    <t>5/16" UNC</t>
  </si>
  <si>
    <t>Use with wall bracket (below)</t>
  </si>
  <si>
    <t>1/2" NPT</t>
  </si>
  <si>
    <t>3/4"NPT</t>
  </si>
  <si>
    <t>1" NPT</t>
  </si>
  <si>
    <t>(Sizes 3/4" - 6")</t>
  </si>
  <si>
    <t>Used to debur quick drop holes</t>
  </si>
  <si>
    <t>100 /4"</t>
  </si>
  <si>
    <t>Bolts &amp; clips for (4") equal socket</t>
  </si>
  <si>
    <t>Replacement for Quick Drops</t>
  </si>
  <si>
    <t>Straight Connections, Elbows, 
Tees, &amp; End Caps</t>
  </si>
  <si>
    <t>ALL QUANTITY CHANGES MUST BE MADE ON PRODUCT PAGES</t>
  </si>
  <si>
    <t>Use with 4 &amp; 6" Pipe Clips</t>
  </si>
  <si>
    <t>Use with (2) threaded connectors to connect to AIRnet piping</t>
  </si>
  <si>
    <t>Use with 2 1/2" - 3" Pipe Clips</t>
  </si>
  <si>
    <t>ARO Profile- 1/4" body style</t>
  </si>
  <si>
    <t>Ind. Interchange- 1/4" body style</t>
  </si>
  <si>
    <t>1 1/2" NPT</t>
  </si>
  <si>
    <t>Butterfly Valve</t>
  </si>
  <si>
    <t>M-M Threaded Hex Nipples</t>
  </si>
  <si>
    <t>Profile Channel</t>
  </si>
  <si>
    <t>T-Bolts</t>
  </si>
  <si>
    <t>Beam Clamp</t>
  </si>
  <si>
    <t>U-Bolt Beam Clamp</t>
  </si>
  <si>
    <t>Hang Clamp</t>
  </si>
  <si>
    <t>Roof Clamp</t>
  </si>
  <si>
    <t>Canalis Clamp</t>
  </si>
  <si>
    <t>Alu Pipe Cutter</t>
  </si>
  <si>
    <t>Hole deburrer</t>
  </si>
  <si>
    <t>Electric Pipe Saw</t>
  </si>
  <si>
    <r>
      <t xml:space="preserve"> Ports / Outlet </t>
    </r>
    <r>
      <rPr>
        <b/>
        <sz val="11"/>
        <color theme="1"/>
        <rFont val="Calibri"/>
        <family val="2"/>
      </rPr>
      <t>Φ</t>
    </r>
  </si>
  <si>
    <t>(3) / 1/2" NPT</t>
  </si>
  <si>
    <t>PF Quick Drop - Contour Seal</t>
  </si>
  <si>
    <t>PF Quick Drop - Oring (std)</t>
  </si>
  <si>
    <t>40-50 / 1 1/2"-2"</t>
  </si>
  <si>
    <t>63-80 / 2 1/2"-3"</t>
  </si>
  <si>
    <t>Quick Drops &amp; Manifolds</t>
  </si>
  <si>
    <t>Height (mm)</t>
  </si>
  <si>
    <t xml:space="preserve">PF Series 1" </t>
  </si>
  <si>
    <t>Click On Picture</t>
  </si>
  <si>
    <t>Pressure Regulator</t>
  </si>
  <si>
    <t xml:space="preserve">Pressure Regulator </t>
  </si>
  <si>
    <t>Filter+Regulator+Lubricator</t>
  </si>
  <si>
    <t>Auto Drain</t>
  </si>
  <si>
    <t>40 / 1 1/2"</t>
  </si>
  <si>
    <t xml:space="preserve">40 / 1 1/2" </t>
  </si>
  <si>
    <t>Requires 2 Equal Unions</t>
  </si>
  <si>
    <t>Additional reductions possible - see npt union adpaters</t>
  </si>
  <si>
    <t>1/2" Male x 1/2" Male</t>
  </si>
  <si>
    <t>3/4" Male x 3/4" Male</t>
  </si>
  <si>
    <t>1" Male x 1" Male</t>
  </si>
  <si>
    <t>1 1/2" Male x 1 1/2" Male</t>
  </si>
  <si>
    <t>2" Male x 2" Male</t>
  </si>
  <si>
    <t>Slide Fluid (water based)</t>
  </si>
  <si>
    <t>***Pipe Depth Gauge***</t>
  </si>
  <si>
    <t>Drill Arbor for Hole Saw</t>
  </si>
  <si>
    <t xml:space="preserve">Filter Regulator </t>
  </si>
  <si>
    <r>
      <t>Male</t>
    </r>
    <r>
      <rPr>
        <sz val="11"/>
        <color theme="4"/>
        <rFont val="Calibri"/>
        <family val="2"/>
        <scheme val="minor"/>
      </rPr>
      <t xml:space="preserve"> -</t>
    </r>
    <r>
      <rPr>
        <b/>
        <sz val="11"/>
        <color theme="4"/>
        <rFont val="Calibri"/>
        <family val="2"/>
        <scheme val="minor"/>
      </rPr>
      <t xml:space="preserve"> PM</t>
    </r>
    <r>
      <rPr>
        <sz val="9.9"/>
        <color theme="4"/>
        <rFont val="Calibri"/>
        <family val="2"/>
      </rPr>
      <t xml:space="preserve"> Series </t>
    </r>
    <r>
      <rPr>
        <b/>
        <sz val="11"/>
        <color theme="4"/>
        <rFont val="Calibri"/>
        <family val="2"/>
        <scheme val="minor"/>
      </rPr>
      <t xml:space="preserve">
Aluminum Connector</t>
    </r>
  </si>
  <si>
    <r>
      <t>Female</t>
    </r>
    <r>
      <rPr>
        <sz val="11"/>
        <color theme="4"/>
        <rFont val="Calibri"/>
        <family val="2"/>
        <scheme val="minor"/>
      </rPr>
      <t xml:space="preserve"> -</t>
    </r>
    <r>
      <rPr>
        <b/>
        <sz val="11"/>
        <color theme="4"/>
        <rFont val="Calibri"/>
        <family val="2"/>
        <scheme val="minor"/>
      </rPr>
      <t xml:space="preserve"> PM</t>
    </r>
    <r>
      <rPr>
        <sz val="9.9"/>
        <color theme="4"/>
        <rFont val="Calibri"/>
        <family val="2"/>
      </rPr>
      <t xml:space="preserve"> Series </t>
    </r>
    <r>
      <rPr>
        <b/>
        <sz val="11"/>
        <color theme="4"/>
        <rFont val="Calibri"/>
        <family val="2"/>
        <scheme val="minor"/>
      </rPr>
      <t xml:space="preserve">
Aluminum Connector</t>
    </r>
  </si>
  <si>
    <t>PM Series</t>
  </si>
  <si>
    <r>
      <t xml:space="preserve">Use with </t>
    </r>
    <r>
      <rPr>
        <b/>
        <sz val="12"/>
        <color theme="4"/>
        <rFont val="Calibri"/>
        <family val="2"/>
        <scheme val="minor"/>
      </rPr>
      <t>Adapters/Threaded Connectors</t>
    </r>
    <r>
      <rPr>
        <sz val="12"/>
        <color theme="4"/>
        <rFont val="Calibri"/>
        <family val="2"/>
        <scheme val="minor"/>
      </rPr>
      <t xml:space="preserve"> to make additional pipe reductions or thread black iron pipes directly</t>
    </r>
  </si>
  <si>
    <t>1/2" Male NPT</t>
  </si>
  <si>
    <t>SIZE</t>
  </si>
  <si>
    <t>(Valve Only) - requires flange / bolt sets</t>
  </si>
  <si>
    <r>
      <t xml:space="preserve">Standard Ball Valves
</t>
    </r>
    <r>
      <rPr>
        <sz val="11"/>
        <color theme="4"/>
        <rFont val="Calibri"/>
        <family val="2"/>
        <scheme val="minor"/>
      </rPr>
      <t>Locking Latch / UL Listed</t>
    </r>
  </si>
  <si>
    <r>
      <rPr>
        <b/>
        <sz val="22"/>
        <color theme="9" tint="-0.249977111117893"/>
        <rFont val="Calibri"/>
        <family val="2"/>
        <scheme val="minor"/>
      </rPr>
      <t>Small Tool Box</t>
    </r>
    <r>
      <rPr>
        <b/>
        <sz val="22"/>
        <color theme="8"/>
        <rFont val="Calibri"/>
        <family val="2"/>
        <scheme val="minor"/>
      </rPr>
      <t xml:space="preserve">  Designed for Installation of 3/4" (20mm) - 2" (50mm)</t>
    </r>
  </si>
  <si>
    <r>
      <rPr>
        <b/>
        <sz val="22"/>
        <color theme="9" tint="-0.249977111117893"/>
        <rFont val="Calibri"/>
        <family val="2"/>
        <scheme val="minor"/>
      </rPr>
      <t>Large Tool Box</t>
    </r>
    <r>
      <rPr>
        <b/>
        <sz val="22"/>
        <color theme="8"/>
        <rFont val="Calibri"/>
        <family val="2"/>
        <scheme val="minor"/>
      </rPr>
      <t xml:space="preserve">  Designed for Installation of 2 1/2" (63mm) - 6" (158mm)</t>
    </r>
  </si>
  <si>
    <t>Attach strut channel (above) to wall</t>
  </si>
  <si>
    <t>Mounting Options</t>
  </si>
  <si>
    <t>Hanging from Beams</t>
  </si>
  <si>
    <t>CLIPS, BRACKETS, ADAPTERS, AND SUPPORTS</t>
  </si>
  <si>
    <t>Support  for Valves / Flanges</t>
  </si>
  <si>
    <t>aka Threaded Connectors</t>
  </si>
  <si>
    <t>aka Nipple Sockets</t>
  </si>
  <si>
    <t>3 Series</t>
  </si>
  <si>
    <t>Large</t>
  </si>
  <si>
    <t>63-80mm (2 1/2" - 3"</t>
  </si>
  <si>
    <t>20-50mm (3/4" - 2")</t>
  </si>
  <si>
    <t>100-158mm ( 4" &amp; 6")</t>
  </si>
  <si>
    <t>PF (Pre-Fit)</t>
  </si>
  <si>
    <t>Installation each pipe and fitting connection requires
equal unions to connect - tighten (2) hex head screws - design</t>
  </si>
  <si>
    <t>Installation push to connect with safety set screw - design</t>
  </si>
  <si>
    <t>Installation - push to connect - design</t>
  </si>
  <si>
    <t>Install Method</t>
  </si>
  <si>
    <t>Material</t>
  </si>
  <si>
    <t>Polymer fittings</t>
  </si>
  <si>
    <t>Aluminum Fittings</t>
  </si>
  <si>
    <t>Aluminum - Steel fittings</t>
  </si>
  <si>
    <t>(1) / 1/2" NPT (new 6 port)</t>
  </si>
  <si>
    <t>(1) / 1/2" NPT (single port)</t>
  </si>
  <si>
    <t>Manifold Plugs</t>
  </si>
  <si>
    <t>Manifold Plugs 1/2"</t>
  </si>
  <si>
    <t>Butterfly Valve
PM &amp; Large Series</t>
  </si>
  <si>
    <t>Threaded Ball Valve
PF Series</t>
  </si>
  <si>
    <t>PM (Pre-Marked)</t>
  </si>
  <si>
    <t>Large Series</t>
  </si>
  <si>
    <t>SOCKET EQUAL D63</t>
  </si>
  <si>
    <t>ELBOW 90 DEG. D63</t>
  </si>
  <si>
    <t>ELBOW 45 DEG. D63</t>
  </si>
  <si>
    <t>TEE EQUAL D63</t>
  </si>
  <si>
    <t>CAP END D63</t>
  </si>
  <si>
    <t>BUTTEFLY VALVE D63</t>
  </si>
  <si>
    <t>FLANGE D63 ANSI</t>
  </si>
  <si>
    <t xml:space="preserve">TEE REDUCTION D63-D40 </t>
  </si>
  <si>
    <t>TEE REDUCTION D63-D50</t>
  </si>
  <si>
    <t>TEE REDUCTION D63-2 NPT</t>
  </si>
  <si>
    <t>NIPPLE SOCKET D63-2 NPT</t>
  </si>
  <si>
    <t>UNION ADAPTER KIT D63-2NPT</t>
  </si>
  <si>
    <t>SOCKET REDUCTION D63 D50</t>
  </si>
  <si>
    <t>UNION ADAPTER D63 - 2 1/2 NPT</t>
  </si>
  <si>
    <t>NIPPLE SOCKET D63-2 1/2 NPT</t>
  </si>
  <si>
    <t>BUTTERFLY VALVE D63 - 2 1/2 NPT</t>
  </si>
  <si>
    <t>SOCKET EQUAL D80</t>
  </si>
  <si>
    <t>ELBOW 90 DEG. D80</t>
  </si>
  <si>
    <t>ELBOW 45 DEG. D80</t>
  </si>
  <si>
    <t>TEE EQUAL D80</t>
  </si>
  <si>
    <t>CAP END D80</t>
  </si>
  <si>
    <t>BUTTEFLY VALVE D80</t>
  </si>
  <si>
    <t>FLANGE D80 ANSI</t>
  </si>
  <si>
    <t>TEE REDUCTION D80-D40</t>
  </si>
  <si>
    <t>TEE REDUCTION D80-D50</t>
  </si>
  <si>
    <t>TEE REDUCTION D80-D63</t>
  </si>
  <si>
    <t>TEE REDUCTION D80- 2 1/2 NPT</t>
  </si>
  <si>
    <t>NIPPLE SOCKET D80-2 1/2 NPT</t>
  </si>
  <si>
    <t>UNION ADAPTER KIT D80-2 1/2 NPT</t>
  </si>
  <si>
    <t>SOCKET REDUCTION D80-D63</t>
  </si>
  <si>
    <t>TEE REDUCTION D80- 3 NPT</t>
  </si>
  <si>
    <t>UNION ADAPTER D80 - 3 NPT</t>
  </si>
  <si>
    <t>NIPPLE SOCKET D80-3 NPT</t>
  </si>
  <si>
    <t>UNION ADAPTER KIT D80-3 NPT</t>
  </si>
  <si>
    <t>BUTTERFLY VALVE D80 - 3 NPT</t>
  </si>
  <si>
    <r>
      <t>●</t>
    </r>
    <r>
      <rPr>
        <b/>
        <sz val="14"/>
        <color rgb="FF1F497D"/>
        <rFont val="Arial Black"/>
        <family val="2"/>
      </rPr>
      <t>PF Series - Push to Fit     3/4" - 2"  diameter</t>
    </r>
  </si>
  <si>
    <t>18 ft 8 inch</t>
  </si>
  <si>
    <t>Torque Head</t>
  </si>
  <si>
    <t>VALVE-BALL:0.5FNPT - AIRNET</t>
  </si>
  <si>
    <t>VALVE-BALL:0.75FNPT - AIRNET</t>
  </si>
  <si>
    <t>VALVE-BALL:3.0FNPT - AIRNET</t>
  </si>
  <si>
    <t>HOSE-REEL:OPEN FOR 50FT .25ID</t>
  </si>
  <si>
    <t>HOSE-REEL:OPEN FOR 50FT .375ID</t>
  </si>
  <si>
    <t>HOSE-REEL:OPEN FOR 30FT .375ID</t>
  </si>
  <si>
    <t>HOSE:.375IDX25FT 300PSI SHOP</t>
  </si>
  <si>
    <t>HOSE:.375ID X 50FT 300PSI SHOP</t>
  </si>
  <si>
    <t>FILTER-REPLACEMENT:COALESCING</t>
  </si>
  <si>
    <t>VALVE-BALL:0.5MNPT X 0.5FNPT</t>
  </si>
  <si>
    <t>FILTER-REGULAT:.50"W/.003MICRN</t>
  </si>
  <si>
    <t>VALVE-BALL:0.5MNPTX 0.5FNPT</t>
  </si>
  <si>
    <t>VALVE-BALL:0.75MNPT VENTED</t>
  </si>
  <si>
    <t>HOSE-REEL:ENCLOSED 50FT .25ID</t>
  </si>
  <si>
    <t>HOSE-REEL:ENCLOSED 50FT .375ID</t>
  </si>
  <si>
    <t>VALVE-BALL:1.25FNPT-AIRNET</t>
  </si>
  <si>
    <t>MOUNTING-HARDWARE:MOUNT SINGLE</t>
  </si>
  <si>
    <t>BUSHING-PIPE:1.5"MNPT X1."FNPT</t>
  </si>
  <si>
    <t>VALVE-BALL:3/4"MNPT X 3/4"FNPT</t>
  </si>
  <si>
    <t>COUPLING KIT THR ROD</t>
  </si>
  <si>
    <t>COUPLING:3/8F X 5/16F</t>
  </si>
  <si>
    <t>COUPLING:BOLT 5/16</t>
  </si>
  <si>
    <t>ROD:THREADED 3/8"X 6FT ZINC</t>
  </si>
  <si>
    <t>1/4" x 6' THREADED ROD</t>
  </si>
  <si>
    <t>5/16" x 6' THREADED ROD</t>
  </si>
  <si>
    <t>CLAMP:BEAM-SCREW 1/4"</t>
  </si>
  <si>
    <t>CLAMP:BEAM-SCREW 5/16"</t>
  </si>
  <si>
    <t>BUSHING-PIPE:2"MNPT X1.5"FNPT</t>
  </si>
  <si>
    <t>BUSHING-PIPE:1'MNPT X .75"FNPT</t>
  </si>
  <si>
    <t>BUSHING-PIPE:3.0"MNPT x 2.50"</t>
  </si>
  <si>
    <t>BUSHING-PIPE:2.5"MNPT x 2"FNPT</t>
  </si>
  <si>
    <t>BUSHING-PIPE:3.0"MNPT X 2.0"</t>
  </si>
  <si>
    <t>BUSHING:1/2" X 1/4", STEEL</t>
  </si>
  <si>
    <t>BUSHING:1/2" x 3/8", GALV</t>
  </si>
  <si>
    <t>BUSHING:3/4" X 1/2", STEEL,</t>
  </si>
  <si>
    <t>BLOW GUN:OSHA VENTURI NOZZLE</t>
  </si>
  <si>
    <t>BLOW GUN:METAL NOZZLE</t>
  </si>
  <si>
    <t>COUPLING:HOSE 1/4"NPT PLUG FEM</t>
  </si>
  <si>
    <t>COUPLING:HOSE 1/4"NPT PLUG MAL</t>
  </si>
  <si>
    <t>COUPLER:1/4" FNPT - ARO</t>
  </si>
  <si>
    <t>COUPLER:1/2" MNPT - ARO</t>
  </si>
  <si>
    <t>PLUG:1/4" NPT MALE - ARO</t>
  </si>
  <si>
    <t>PLUG:1/4" FEMALE NPT - ARO</t>
  </si>
  <si>
    <t>Slide Gel Assembly Fluid  / case</t>
  </si>
  <si>
    <t>COUPLER:1/4" FNPT-IND PROFILE</t>
  </si>
  <si>
    <t>COUPLER:1/2" MNPT-IND PROFILE</t>
  </si>
  <si>
    <t>PLUG:1/4" NPT MALE - IND</t>
  </si>
  <si>
    <t>PLUG:1/4" NPT FEMALE - IND</t>
  </si>
  <si>
    <t>HOSE ASSY 3/4" STRAIGHT 2.5 FT</t>
  </si>
  <si>
    <t>HOSE ASSY 3/4" STRAIGHT 4.9 FT</t>
  </si>
  <si>
    <t>HOSE ASSY 1" STRAIGHT 2.5 FT</t>
  </si>
  <si>
    <t>HOSE ASSY 1" STRAIGHT 4.9 FT</t>
  </si>
  <si>
    <t>HOSE ASSY 1 1/2" STRAIGHT</t>
  </si>
  <si>
    <t>HOSE ASSY 2" STRAIGHT 4.9 FT</t>
  </si>
  <si>
    <t>PIPE CLIP:4+ D100</t>
  </si>
  <si>
    <t>BUTTERFLY VALVE</t>
  </si>
  <si>
    <t>VALVE, CONTROL  375"</t>
  </si>
  <si>
    <t>ACTUATOR, PLUNGER</t>
  </si>
  <si>
    <t>PIPE CLAMP SADDLE DN80/200C</t>
  </si>
  <si>
    <t>CLAMP PIPE SADDLE DN100/200C</t>
  </si>
  <si>
    <t>RING D50</t>
  </si>
  <si>
    <t>SUPPORT AIRNET DISPLAY</t>
  </si>
  <si>
    <t>FITTING PIPE THREADED TEE</t>
  </si>
  <si>
    <t>SOCKET 1 INCH NPT - F</t>
  </si>
  <si>
    <t>L Keys - Quick Drops old 6mm</t>
  </si>
  <si>
    <t>Gripple Loop Hangers 5' - 5 pack</t>
  </si>
  <si>
    <t>Gripple Loop Hangers 5' - 10 pack</t>
  </si>
  <si>
    <t>Gripple Loop Hangers 15' - 5 pack</t>
  </si>
  <si>
    <t>Gripple Loop Hangers 15' - 10 pack</t>
  </si>
  <si>
    <t>Gripple 1/4" Stud Hangers 5' - 5 pack</t>
  </si>
  <si>
    <t>Gripple 1/4" Stud Hangers 5' - 10 pack</t>
  </si>
  <si>
    <t>Gripple 1/4" Stud Hangers 15' - 10 pack</t>
  </si>
  <si>
    <t>Gripple 90º Eyelet Hangers 5' - 5 pack</t>
  </si>
  <si>
    <t>Gripple 90º Eyelet Hangers 5' - 10 pack</t>
  </si>
  <si>
    <t>Gripple 90º Eyelet Hangers1 5' - 5 pack</t>
  </si>
  <si>
    <t>Gripple 90º Eyelet Hangers1 5' - 10 pack</t>
  </si>
  <si>
    <t>Gripple Y-Fit Pipe Hangers 5' - 5 pack</t>
  </si>
  <si>
    <t>Gripple Y-Fit Pipe Hangers 5' - 10 pack</t>
  </si>
  <si>
    <t>Gripple Y-Fit Pipe Hangers 15' - 5 pack</t>
  </si>
  <si>
    <t>Gripple Y-Fit Pipe Hangers 15' - 10 pack</t>
  </si>
  <si>
    <t>Gripple Barrel End Hangers 5' - 5 pack</t>
  </si>
  <si>
    <t>Gripple Barrel End Hangers 5' - 10 pack</t>
  </si>
  <si>
    <t>Gripple Barrel End Hangers 15' - 5 pack</t>
  </si>
  <si>
    <t>FIXATION WALLBRACKET VALVE D63</t>
  </si>
  <si>
    <t>FIXATION WALLBRACKET VALVE D80</t>
  </si>
  <si>
    <t>2M C-PROFILE</t>
  </si>
  <si>
    <t>WALL BRACKET</t>
  </si>
  <si>
    <t>CANTILEVER ARM 300MM</t>
  </si>
  <si>
    <t>T-BOLT M8X30</t>
  </si>
  <si>
    <t>PROTECTION CAP</t>
  </si>
  <si>
    <t>BEAM CLAMP 2-3MM</t>
  </si>
  <si>
    <t>SCREW BEAM CLAMP</t>
  </si>
  <si>
    <t>U-BOLT BEAM CLAMP</t>
  </si>
  <si>
    <t>HANG CLAMP 1.5-4MM</t>
  </si>
  <si>
    <t>ROOF CLAMP</t>
  </si>
  <si>
    <t>TOOL</t>
  </si>
  <si>
    <t>TOOL DEBURRER HOLE</t>
  </si>
  <si>
    <t>ANTI WHIP-LASH STRAP 1/2-1.1/4</t>
  </si>
  <si>
    <t>ANTI WHIP-LASH STRAP 1.1/2-3</t>
  </si>
  <si>
    <t>CANTILEVER ARM L540MM</t>
  </si>
  <si>
    <t>T-BOLT M8X40</t>
  </si>
  <si>
    <t>BEAM CLAMP 3-8MM</t>
  </si>
  <si>
    <t>HANG CLAMP 4-6.5MM</t>
  </si>
  <si>
    <t>TUBE GYMNA CONTACTGEL 0.5L</t>
  </si>
  <si>
    <t>SET CONNECTION</t>
  </si>
  <si>
    <t>CLIP STRIP EARTHING 17,2-185</t>
  </si>
  <si>
    <t>SPACER</t>
  </si>
  <si>
    <t>BEAM CLAMP 8-14MM</t>
  </si>
  <si>
    <t>TOOL CUTTER 100-170MM</t>
  </si>
  <si>
    <t>TOOL DRIL BIT D24</t>
  </si>
  <si>
    <t>LUBRICATOR IKV H-1 AIRNET</t>
  </si>
  <si>
    <t>SET Q= 5 BRACKET</t>
  </si>
  <si>
    <t>CLIP SPACER D100-FL SUP Q=10</t>
  </si>
  <si>
    <t>T-BOLT M8X80</t>
  </si>
  <si>
    <t>BEAM CLAMP 14-20MM</t>
  </si>
  <si>
    <t>CUTTING RING</t>
  </si>
  <si>
    <t>CUTTING RING D48-170</t>
  </si>
  <si>
    <t>BOLT SET 3/4UNC D158 VALVE</t>
  </si>
  <si>
    <t>TOOL CUTTER ELECTRIC 220V</t>
  </si>
  <si>
    <t>TOOL CUTTER ELECTRIC 110V</t>
  </si>
  <si>
    <t>DEBURRER PIPE D50-150</t>
  </si>
  <si>
    <t>TOOL CUTTER EL. TCT140 BLADE</t>
  </si>
  <si>
    <t>TOOL DEBURRER BIGGER DIAMETERS</t>
  </si>
  <si>
    <t>BOX TOOLS</t>
  </si>
  <si>
    <t>BOLT NUT SLIDING M6 10PCS</t>
  </si>
  <si>
    <t>CLAMP BEAM M6 2-3MM 10PCS</t>
  </si>
  <si>
    <t>CLAMP SCREW BEAM M6 18MM 10PC</t>
  </si>
  <si>
    <t>CLAMP HANG M6 1,5-4MM</t>
  </si>
  <si>
    <t>CLAMP ROOF M6 0.8-3MM 10PCS</t>
  </si>
  <si>
    <t>HOSE ASSEMBLY</t>
  </si>
  <si>
    <t>O-RING QUICKDROP D25 10PCS</t>
  </si>
  <si>
    <t>CLAMP BEAM M6 3-8MM 10PCS</t>
  </si>
  <si>
    <t>TOOL SPANNER D20-25 Q=2</t>
  </si>
  <si>
    <t>CLAMP BEAM M6 8-14MM 10PCS</t>
  </si>
  <si>
    <t>CLAMP BEAM M6 14-20MM 10PCS</t>
  </si>
  <si>
    <t>SPANNER D20 &amp; D25</t>
  </si>
  <si>
    <t>QUICKDROP THREADED D40X1/2 NPT</t>
  </si>
  <si>
    <t>SPANNER D40</t>
  </si>
  <si>
    <t>QUICKDROP THREADED D40X3/4</t>
  </si>
  <si>
    <t>SPANNER D50</t>
  </si>
  <si>
    <t>TOOL SPANNER D63</t>
  </si>
  <si>
    <t>TOOL SPANNER D80</t>
  </si>
  <si>
    <t>HOSE ASSEMBLY DN80 L=1900MM</t>
  </si>
  <si>
    <t>D80 INNER PARTS Q=5</t>
  </si>
  <si>
    <t>O-RING SET 10PCS FITTING D80</t>
  </si>
  <si>
    <t>ELBOW 90 DEG. D100</t>
  </si>
  <si>
    <t>ELBOW 45 DEG. D100</t>
  </si>
  <si>
    <t>TEE EQUAL D100</t>
  </si>
  <si>
    <t>BELT SPANNER D40-80</t>
  </si>
  <si>
    <t>SUPPORT</t>
  </si>
  <si>
    <t>CLIP PIPE D100 M8-M10 10PCS</t>
  </si>
  <si>
    <t>FLANGE</t>
  </si>
  <si>
    <t>TEE REDUCTION D100 X 1 ISO 228</t>
  </si>
  <si>
    <t>TEE REDUCTION D100 X 1 NPT</t>
  </si>
  <si>
    <t>SEAL PRESSURE D100 KIT</t>
  </si>
  <si>
    <t>VACUUM LABEL 10PCS</t>
  </si>
  <si>
    <t>TEE REDUCTION D100-D50</t>
  </si>
  <si>
    <t>TEE REDUCTION D100-D63</t>
  </si>
  <si>
    <t>TEE REDUCTION D100-D80</t>
  </si>
  <si>
    <t>SOCKET REDUCTION D100-D80</t>
  </si>
  <si>
    <t>SOCKET EQUAL D100</t>
  </si>
  <si>
    <t>SOCKET EQUAL D158</t>
  </si>
  <si>
    <t>ELBOW 90 DEG. D158</t>
  </si>
  <si>
    <t>ELBOW 45 DEG. D158</t>
  </si>
  <si>
    <t>TEE EQUAL D158</t>
  </si>
  <si>
    <t>CLIP PIPE D158 10PCS</t>
  </si>
  <si>
    <t>VALVE BUTTERFLY DN150</t>
  </si>
  <si>
    <t>FIXATION WALLBRACKET D158FLANG</t>
  </si>
  <si>
    <t>CLIP PIPE D158 3-8UNC 10PCS</t>
  </si>
  <si>
    <t>TEE REDUCTION D158X1 ISO-228</t>
  </si>
  <si>
    <t>TEE REDUCTION D158X1NPT</t>
  </si>
  <si>
    <t>TEE REDUCTION D158-D80</t>
  </si>
  <si>
    <t>TEE REDUCTION D158X100</t>
  </si>
  <si>
    <t>CAP END D158/D100</t>
  </si>
  <si>
    <t>SOCKET REDUCTION D158X100</t>
  </si>
  <si>
    <t>TEE REDUCTION D20 X 3/8 ISO228</t>
  </si>
  <si>
    <t>TEE REDUCTION D20 X 3/8 NPT</t>
  </si>
  <si>
    <t>KIT AIRNET D20 3/8 INCH ISO228</t>
  </si>
  <si>
    <t>KIT AIRNET D20 3/8 INCH NPT</t>
  </si>
  <si>
    <t>NIPPLE WALLMOUNT 1/2 INCH NPT</t>
  </si>
  <si>
    <t>CLIP SPACER D20-25 H=15 10PCS</t>
  </si>
  <si>
    <t>WRENCH 8439004103 + HEAD CAL.</t>
  </si>
  <si>
    <t>BOX TOOL PF SERIES</t>
  </si>
  <si>
    <t>NIPPLE WALLMOUNT PLUG ISO 228</t>
  </si>
  <si>
    <t>KIT WALLMOUNT PLUG NPT</t>
  </si>
  <si>
    <t>NIPPLE HEXAGON 1/2 INCH NPT</t>
  </si>
  <si>
    <t>SOCKET 1/2 INCH ISO 228</t>
  </si>
  <si>
    <t>SOCKET 1/2 INCH NPT</t>
  </si>
  <si>
    <t>PRESSURE GAUGE 1/4 ISO 7R</t>
  </si>
  <si>
    <t>FILTER ELEMENT, PE 5MICROM</t>
  </si>
  <si>
    <t>PNEUMATIC BLOW GUN 1/4 ISO228</t>
  </si>
  <si>
    <t>CLIP SPACER D40 DEMOBOX</t>
  </si>
  <si>
    <t>CLIP SPACER D40-50 H=20 10PCS</t>
  </si>
  <si>
    <t>BOLT ADAPTOR 1/4-3/8INCH</t>
  </si>
  <si>
    <t>QUICK RELEASE FITTING 1/2 M-F</t>
  </si>
  <si>
    <t>CLIP SPACER D63 DEMOBOX</t>
  </si>
  <si>
    <t>CLIP SPACER D63-80 H=30 10PCS</t>
  </si>
  <si>
    <t>MARKER PIPE</t>
  </si>
  <si>
    <t>BOX TOOL BIGGER DIAMETERS</t>
  </si>
  <si>
    <t>BOLT ADAPTOR 5/16-3/8INCH</t>
  </si>
  <si>
    <t>QUICK RELEASE FITTING 1/2 F-F</t>
  </si>
  <si>
    <t>BOLT ADAPTOR M10-3/8INCH</t>
  </si>
  <si>
    <t>QUICK RELEASE FITTING 1/4 M-M</t>
  </si>
  <si>
    <t>QUICK RELEASE FITTING 1/2 M-M</t>
  </si>
  <si>
    <t>QUICK RELEASE FITTING 1/2 F-M</t>
  </si>
  <si>
    <t>HOSE REEL DIA12X8MM LENGTH 12M</t>
  </si>
  <si>
    <t>PU HOSE DIA 12X8MM LENGTH 25M</t>
  </si>
  <si>
    <t>PU HOSE DIA 12X8MM LENGTH 50M</t>
  </si>
  <si>
    <t>PU HOSE DIA 12X8MM LENGTH 100M</t>
  </si>
  <si>
    <t>RUBBER HOSE D17X8MM LENGTH 25M</t>
  </si>
  <si>
    <t>RUBBER HOSE D17X8MM LENGTH 50M</t>
  </si>
  <si>
    <t>RUBBER HOSE D17X8MM LENGTH100M</t>
  </si>
  <si>
    <t>PIPE STRAIGHT D20 x1</t>
  </si>
  <si>
    <t>KIT AIRNET D20 NUTS</t>
  </si>
  <si>
    <t>SOCKET EQUAL D20</t>
  </si>
  <si>
    <t>CLIP CONDUCTIVITY KIT EQ 20/25</t>
  </si>
  <si>
    <t>ELBOW 90 DEG. D20</t>
  </si>
  <si>
    <t>CLIP CONDUCTIVITY KIT ELBOW 90</t>
  </si>
  <si>
    <t>ELBOW 45 DEG. D20</t>
  </si>
  <si>
    <t>CLIP CONDUCTIVITY KIT ELBOW 45</t>
  </si>
  <si>
    <t>TEE EQUAL D20</t>
  </si>
  <si>
    <t>CLIP CONDUCTIVITY KIT TEE D20</t>
  </si>
  <si>
    <t>CAP END D20</t>
  </si>
  <si>
    <t>TEE REDUCTION D20 X 1/2 ISO228</t>
  </si>
  <si>
    <t>TEE REDUCTION D20 X 1/2 NPT</t>
  </si>
  <si>
    <t>NIPPLE SOCKET D20X 1/2 ISO7-R</t>
  </si>
  <si>
    <t>NIPPLE SOCKET D20X 1/2 NPT</t>
  </si>
  <si>
    <t>KIT AIRNET D20 1/2 INCH ISO228</t>
  </si>
  <si>
    <t>KIT AIRNET D20 1/2 INCH NPT</t>
  </si>
  <si>
    <t>CLIP PIPE D20 M6 20PCS</t>
  </si>
  <si>
    <t>NIPPLE WALLMOUNT D20 ISO 228</t>
  </si>
  <si>
    <t>NIPPLE WALLMOUNT D20</t>
  </si>
  <si>
    <t>NIPPLE WALLMOUNT 3/4 INCH</t>
  </si>
  <si>
    <t>NIPPLE WALLMOUNT 3/4 INCH NPT</t>
  </si>
  <si>
    <t>TOOL SPANNER D20</t>
  </si>
  <si>
    <t>CLAMP HANG M6 1.5-4MM 10PCS</t>
  </si>
  <si>
    <t>NIPPLE WALLMOUNT D20 1XISO228</t>
  </si>
  <si>
    <t>NIPPLE WALLMOUNT D20 1XNPT</t>
  </si>
  <si>
    <t>MANIFOLD D20 ISO228</t>
  </si>
  <si>
    <t>MANIFOLD D20 NPT</t>
  </si>
  <si>
    <t>VALVE PUSH FIT D20</t>
  </si>
  <si>
    <t>SPIRAL HOSE DIA 16X10MM 5M</t>
  </si>
  <si>
    <t>SPIRAL HOSE DIA 16X10MM 10M</t>
  </si>
  <si>
    <t>Aluminium Pipe - Inert Gases  5.7m (18.7')</t>
  </si>
  <si>
    <t>PIPE STRAIGHT D20</t>
  </si>
  <si>
    <t>Aluminium Pipe-Blue- 2.85m (9.35ft)</t>
  </si>
  <si>
    <t>PIPE STRAIGHT D20 4PCS</t>
  </si>
  <si>
    <t>PIPE S - BEND D20</t>
  </si>
  <si>
    <t>FILTER REGUL.LUBRIC.3/4 ISO228</t>
  </si>
  <si>
    <t>FILTER REGUL. LUBRIC. 3/4 NPT</t>
  </si>
  <si>
    <t>UNION ADAPTER D20 X 3/4 ISO228</t>
  </si>
  <si>
    <t>UNION ADAPTER D20 X 3/4 NPT</t>
  </si>
  <si>
    <t>NIPPLE SOCKET D20X 3/4 ISO7-R</t>
  </si>
  <si>
    <t>NIPPLE SOCKET D20X 3/4 NPT</t>
  </si>
  <si>
    <t>CLIP PIPE D20 1/4 UNC 20PCS</t>
  </si>
  <si>
    <t>CLAMP HANG M6 4-6.5MM 10PCS</t>
  </si>
  <si>
    <t>VALVE THREADED D20X3/4 ISO 228</t>
  </si>
  <si>
    <t>VALVE THREADED D20 X 3/4 NPT</t>
  </si>
  <si>
    <t>NIPPLE HEXAGON 3/4 ISO 7-R</t>
  </si>
  <si>
    <t>NIPPLE HEXAGON 3/4 INCH NPT</t>
  </si>
  <si>
    <t>SOCKET 3/4 INCH ISO 228</t>
  </si>
  <si>
    <t>SOCKET 3/4 INCH NPT</t>
  </si>
  <si>
    <t>LOCKABLE HANDLE D20/D25</t>
  </si>
  <si>
    <t>FIXATION SPACER VALVE D20-D25</t>
  </si>
  <si>
    <t>SPACER KIT VALVE D20-25</t>
  </si>
  <si>
    <t>PIPE STRAIGHT D25 x1</t>
  </si>
  <si>
    <t>KIT AIRNET D25 NUTS</t>
  </si>
  <si>
    <t>SOCKET EQUAL D25</t>
  </si>
  <si>
    <t>ELBOW 90 DEG. D25</t>
  </si>
  <si>
    <t>ELBOW 45 DEG. D25</t>
  </si>
  <si>
    <t>CLIP CONDUCTIVITY KIT TEE D25</t>
  </si>
  <si>
    <t>CAP END D25</t>
  </si>
  <si>
    <t>TEE REDUCTION D25 X 1/2 NPT</t>
  </si>
  <si>
    <t>QUICKDROP THREADED 1/2 ISO-228</t>
  </si>
  <si>
    <t>QUICKDROP THREADED 1/2 NPT</t>
  </si>
  <si>
    <t>KIT AIRNET D25 1/2 INCH ISO228</t>
  </si>
  <si>
    <t>KIT AIRNET D25 1/2 INCH NPT</t>
  </si>
  <si>
    <t>CLIP PIPE D25 DEMOBOX</t>
  </si>
  <si>
    <t>CLIP PIPE D25 M6 20PCS</t>
  </si>
  <si>
    <t>NIPPLE WALLMOUNT D25 ISO 228</t>
  </si>
  <si>
    <t>NIPPLE WALLMOUNT D25 NPT</t>
  </si>
  <si>
    <t>TOOL SPANNER D25</t>
  </si>
  <si>
    <t>NIPPLE WALLMOUNT D25 1XISO228</t>
  </si>
  <si>
    <t>NIPPLE WALLMOUNT D25 1XNPT</t>
  </si>
  <si>
    <t>MANIFOLD D25 ISO228</t>
  </si>
  <si>
    <t>MANIFOLD D25 NPT</t>
  </si>
  <si>
    <t>VALVE PUSH FIT D25</t>
  </si>
  <si>
    <t>KIT AIRNET QD D25 SEALS</t>
  </si>
  <si>
    <t>PIPE STRAIGHT D25 4 PCS</t>
  </si>
  <si>
    <t>PIPE S - BEND D25</t>
  </si>
  <si>
    <t>PRESSURE REGULATOR 1 ISO228</t>
  </si>
  <si>
    <t>PRESSURE REGULATOR 1 NPT</t>
  </si>
  <si>
    <t>AUTO DRAIN KIT 1 ISO 228</t>
  </si>
  <si>
    <t>AUTO DRAIN KIT 1 NPT</t>
  </si>
  <si>
    <t>FILTER REGULATOR 1 ISO 228</t>
  </si>
  <si>
    <t>FILTER REGUL. LUBRIC. 1 NPT</t>
  </si>
  <si>
    <t>TEE REDUCTION D25 D20</t>
  </si>
  <si>
    <t>TEE REDUCTION D25 X 3/4 ISO228</t>
  </si>
  <si>
    <t>TEE REDUCTION D25 X 3/4 NPT</t>
  </si>
  <si>
    <t>QUICKDROP PUSH FIT D25XD20</t>
  </si>
  <si>
    <t>NIPPLE SOCKET D25X 3/4 NPT</t>
  </si>
  <si>
    <t>KIT AIRNET D25 3/4 INCH ISO228</t>
  </si>
  <si>
    <t>KIT AIRNET D25 3/4 INCH NPT</t>
  </si>
  <si>
    <t>SOCKET REDUCTION D20 D25</t>
  </si>
  <si>
    <t>CLIP PIPE D25 1/4 UNC 20PCS</t>
  </si>
  <si>
    <t>UNION ADAPTER 1 INCH ISO-228</t>
  </si>
  <si>
    <t>UNION ADAPTER 1 INCH NPT</t>
  </si>
  <si>
    <t>NIPPLE SOCKET D25 X 1 ISO 7-R</t>
  </si>
  <si>
    <t>NIPPLE SOCKET D25X 1 NPT</t>
  </si>
  <si>
    <t>VALVE THREADED D25 X 1 ISO 228</t>
  </si>
  <si>
    <t>VALVE THREADED D25 X 1 NPT</t>
  </si>
  <si>
    <t>NIPPLE HEXAGON 1 ISO 7-R</t>
  </si>
  <si>
    <t>NIPPLE HEXAGON 1 INCH NPT</t>
  </si>
  <si>
    <t>SOCKET 1 INCH ISO 228</t>
  </si>
  <si>
    <t>SOCKET 1 1/4 INCH ISO 228</t>
  </si>
  <si>
    <t>SOCKET 1 1/4 INCH NPT</t>
  </si>
  <si>
    <t>PIPE STRAIGHT D40 x1</t>
  </si>
  <si>
    <t>KIT AIRNET D40 NUTS</t>
  </si>
  <si>
    <t>SOCKET EQUAL D40</t>
  </si>
  <si>
    <t>CLIP CONDUCTIVITY KIT EQ D40</t>
  </si>
  <si>
    <t>ELBOW 90 DEG. D40</t>
  </si>
  <si>
    <t>ELBOW 45 DEG. D40</t>
  </si>
  <si>
    <t>TEE EQUAL D40</t>
  </si>
  <si>
    <t>CLIP CONDUCTIVITY KIT TEE D40</t>
  </si>
  <si>
    <t>CAP END D40</t>
  </si>
  <si>
    <t>TOOL SPANNER D40</t>
  </si>
  <si>
    <t>KIT AIRNET VALVE D40</t>
  </si>
  <si>
    <t>KIT AIRNET QD D40 D50 SEALS</t>
  </si>
  <si>
    <t>PIPE STRAIGHT D40 4PCS</t>
  </si>
  <si>
    <t>TEE REDUCTION D40 D20</t>
  </si>
  <si>
    <t>QUICKDROP PUSH FIT D40XD20</t>
  </si>
  <si>
    <t>QUICKDROP THREADED 3/4 ISO-228</t>
  </si>
  <si>
    <t>QUICKDROP THREADED 3/4 NPT</t>
  </si>
  <si>
    <t>CLIP PIPE D40 1/4 UNC 20PCS</t>
  </si>
  <si>
    <t>TEE REDUCTION D40 D25</t>
  </si>
  <si>
    <t>TEE REDUCTION THREADED BSPP 1</t>
  </si>
  <si>
    <t>TEE REDUCTION THREADED NPT 1</t>
  </si>
  <si>
    <t>QUICKDROP PUSH FIT D40XD25</t>
  </si>
  <si>
    <t>KIT AIRNET D40XBSPP 1</t>
  </si>
  <si>
    <t>KIT AIRNET D40XNPT1</t>
  </si>
  <si>
    <t>SOCKET REDUCTION D40 D25</t>
  </si>
  <si>
    <t>NIPPLE SOCKET D40X1 1/4 BSPT</t>
  </si>
  <si>
    <t>NIPPLE SOCKET D40X1 1/4 NPT</t>
  </si>
  <si>
    <t>UNION ADAPTER BSPP 1 1/2</t>
  </si>
  <si>
    <t>UNION ADAPTER NPT 1 1/2</t>
  </si>
  <si>
    <t>NIPPLE SOCKET D40X1 1/2 BSPT</t>
  </si>
  <si>
    <t>NIPPLE SOCKET D40X1 1/2 NPT</t>
  </si>
  <si>
    <t>KIT AIRNET VALVE D40 X 1 1/2</t>
  </si>
  <si>
    <t>KIT AIRNET VALVE D40X1 1/2 NPT</t>
  </si>
  <si>
    <t>NIPPLE HEXAGON 1 1/2 ISO 7-R</t>
  </si>
  <si>
    <t>NIPPLE HEXAGON 1 1/2 INCH NPT</t>
  </si>
  <si>
    <t>SOCKET 1 1/2 INCH ISO 228</t>
  </si>
  <si>
    <t>SOCKET 1 1/2 INCH NPT</t>
  </si>
  <si>
    <t>LOCKABLE HANDLE D40/D50</t>
  </si>
  <si>
    <t>PIPE STRAIGHT D50 x1</t>
  </si>
  <si>
    <t>KIT AIRNET D50 NUTS</t>
  </si>
  <si>
    <t>SOCKET EQUAL D50</t>
  </si>
  <si>
    <t>CLIP CONDUCTIVITY KIT EQ D50</t>
  </si>
  <si>
    <t>ELBOW 90 DEG. D50</t>
  </si>
  <si>
    <t>ELBOW 45 DEG. D50</t>
  </si>
  <si>
    <t>TEE EQUAL D50</t>
  </si>
  <si>
    <t>CLIP CONDUCTIVITY KIT TEE D50</t>
  </si>
  <si>
    <t>CAP END D50</t>
  </si>
  <si>
    <t>QUICKDROP D50-1/2 ISO-228</t>
  </si>
  <si>
    <t>QUICKDROP THREADED D50-1/2 NPT</t>
  </si>
  <si>
    <t>CLIP PIPE D50 DEMOBOX</t>
  </si>
  <si>
    <t>CLIP PIPE D50 M6 20PCS</t>
  </si>
  <si>
    <t>TOOL SPANNER D50</t>
  </si>
  <si>
    <t>KIT AIRNET VALVE D50</t>
  </si>
  <si>
    <t>PIPE STRAIGHT D50</t>
  </si>
  <si>
    <t>CLIP CONDUCTIVITY ELBOW 90 DEG</t>
  </si>
  <si>
    <t>TEE REDUCTION D50 D20</t>
  </si>
  <si>
    <t>QUICKDROP PUSH FIT D50XD20</t>
  </si>
  <si>
    <t>QUICKDROP THREADED D50-3/4 NPT</t>
  </si>
  <si>
    <t>CLIP PIPE D50 1/4 UNC 20PCS</t>
  </si>
  <si>
    <t>TEE REDUCTION D50 D25</t>
  </si>
  <si>
    <t>TEE REDUCTION THREADED NPT1</t>
  </si>
  <si>
    <t>QUICKDROP PUSH FIT D50XD25</t>
  </si>
  <si>
    <t>TEE REDUCTION D50-D40</t>
  </si>
  <si>
    <t>NIPPLE SOCKET D50X1 1/2 BSPT</t>
  </si>
  <si>
    <t>NIPPLE SOCKET D50X1 1/2 NPT</t>
  </si>
  <si>
    <t>KIT AIRNET D50XBSPP 1 1/2</t>
  </si>
  <si>
    <t>KIT AIRNET D50XNPT 1 1/2</t>
  </si>
  <si>
    <t>SOCKET REDUCTION D50-D40</t>
  </si>
  <si>
    <t>UNION ADAPTER BSPP 2</t>
  </si>
  <si>
    <t>UNION ADAPTER NPT 2</t>
  </si>
  <si>
    <t>NIPPLE SOCKET D50X2 BSPT</t>
  </si>
  <si>
    <t>NIPPLE SOCKET D50X2 NPT</t>
  </si>
  <si>
    <t>KIT AIRNET D50XBSPP 2</t>
  </si>
  <si>
    <t>KIT AIRNET D50XNPT 2</t>
  </si>
  <si>
    <t>KIT AIRNET D50 X 2 INCH</t>
  </si>
  <si>
    <t>KIT AIRNET VALVE D50X2 NPT</t>
  </si>
  <si>
    <t>NIPPLE HEXAGON 2 INCH NPT</t>
  </si>
  <si>
    <t>SOCKET 2 INCH ISO 228</t>
  </si>
  <si>
    <t>SOCKET 2 INCH NPT</t>
  </si>
  <si>
    <t>PIPE STRAIGHT D63 x1</t>
  </si>
  <si>
    <t>NUT ASSEMBLY D63</t>
  </si>
  <si>
    <t>BODY SOCKET EQUAL D63</t>
  </si>
  <si>
    <t>BODY ELBOW 90 DEG. D63</t>
  </si>
  <si>
    <t>CLIP PIPE D63 M8 20PCS</t>
  </si>
  <si>
    <t>FLANGE D63 DIN</t>
  </si>
  <si>
    <t>KIT AIRNET D63 NUTS</t>
  </si>
  <si>
    <t>PIPE STRAIGHT D63</t>
  </si>
  <si>
    <t>KIT AIRNET QD D63 D80 SEALS</t>
  </si>
  <si>
    <t>QUICKDROP PUSH FIT D63XD20</t>
  </si>
  <si>
    <t>CLIP PIPE D63 5/16 UNC 20PCS</t>
  </si>
  <si>
    <t>TOOL TORQUE HEAD D63</t>
  </si>
  <si>
    <t>QUICKDROP PUSH FIT D63XD25</t>
  </si>
  <si>
    <t>PIPE END D63-D40 REBUILT KIT</t>
  </si>
  <si>
    <t>NIPPLE SOCKET D63-2.1/2 ISO228</t>
  </si>
  <si>
    <t>NIPPLE SOCKET F D63-2.1/2 NPT</t>
  </si>
  <si>
    <t>TOOL SPANNER D63 HEXAGON BODY</t>
  </si>
  <si>
    <t>PIPE STRAIGHT D80 x1</t>
  </si>
  <si>
    <t>NUT ASSEMBLY D80</t>
  </si>
  <si>
    <t>BODY SOCKET EQUAL D80</t>
  </si>
  <si>
    <t>BODY ELBOW 90 DEG. D80</t>
  </si>
  <si>
    <t>QUICKDROP THREADED D80-1/2 NPT</t>
  </si>
  <si>
    <t>CLIP PIPE D80 M8 20PCS</t>
  </si>
  <si>
    <t>PIPE STRAIGHT D80</t>
  </si>
  <si>
    <t>QUICKDROP PUSH FIT D80XD20</t>
  </si>
  <si>
    <t>QUICKDROP D80-3/4 ISO-228</t>
  </si>
  <si>
    <t>QUICKDROP THREADED D80-3/4 NPT</t>
  </si>
  <si>
    <t>CLIP PIPE D80 5/16 UNC 20PCS</t>
  </si>
  <si>
    <t>TOOL TORQUE HEAD D80</t>
  </si>
  <si>
    <t>QUICKDROP PUSH FIT D80XD25</t>
  </si>
  <si>
    <t>BODY PIPE END D80-D50</t>
  </si>
  <si>
    <t>PIPE END FITTING D80-D50</t>
  </si>
  <si>
    <t>TEE REDUCTION D80 D63</t>
  </si>
  <si>
    <t>NIPPLE SOCKET D80X 3 ISO7R</t>
  </si>
  <si>
    <t>TOOL SPANNER D80 HEXAGON BODY</t>
  </si>
  <si>
    <t>PIPE STRAIGHT D100 x1</t>
  </si>
  <si>
    <t>PIPE STRAIGHT D100 GREEN 5.7M x1</t>
  </si>
  <si>
    <t>PIPE STRAIGHT D100 GREY 5.7M x1</t>
  </si>
  <si>
    <t>PIPE STRAIGHT D158 x1</t>
  </si>
  <si>
    <t>TOOL PRESS D15-D54 110V</t>
  </si>
  <si>
    <t>MARKER</t>
  </si>
  <si>
    <t>TOOL CUTTER MANUAL D15-D54</t>
  </si>
  <si>
    <t>DEMO BOX</t>
  </si>
  <si>
    <t>DEMO BOX EMPTY</t>
  </si>
  <si>
    <t>PIPE STRAIGHT D35 DEMOBOX</t>
  </si>
  <si>
    <t>PIPE STRAIGHT D42 DEMOBOX</t>
  </si>
  <si>
    <t>TOOL PRESS D76-D108 110V</t>
  </si>
  <si>
    <t>TOOL CUTTER MANUAL SPARE BLADE</t>
  </si>
  <si>
    <t>BOLT ADAPTOR M6-3/8 INCH UNC</t>
  </si>
  <si>
    <t>TOOL BATTERY</t>
  </si>
  <si>
    <t>TOOL CUTTER EL. D28-D108 220V</t>
  </si>
  <si>
    <t>TOOL CUT EL. KIT D28-D108 220V</t>
  </si>
  <si>
    <t>BOLT ADAPTOR M8-3/8 INCH UNC</t>
  </si>
  <si>
    <t>TOOL CHARGER 110V</t>
  </si>
  <si>
    <t>TOOL CUTTER EL. D28-D108 110V</t>
  </si>
  <si>
    <t>TOOL CUT EL. KIT D28-D108 110V</t>
  </si>
  <si>
    <t>BOLT ADAPTOR M10-3/8 INCH UNC</t>
  </si>
  <si>
    <t>TOOL CABLE 110V</t>
  </si>
  <si>
    <t>TOOL CUTTER EL. CUTTING WHEEL</t>
  </si>
  <si>
    <t>TOOL CUTTER EL. WHEEL STAND</t>
  </si>
  <si>
    <t>TOOL CUTTER EL. PIPE SUPPORT</t>
  </si>
  <si>
    <t>TOOL CUTTER EL. SPARE ROLLERS</t>
  </si>
  <si>
    <t>PIPE 304L D15 x1</t>
  </si>
  <si>
    <t>PIPE 316L D15 x1</t>
  </si>
  <si>
    <t>EQUAL SOCKET 316L D15</t>
  </si>
  <si>
    <t>ELBOW 90 DEG 316L D15</t>
  </si>
  <si>
    <t>ELBOW 45 DEG 316L D15</t>
  </si>
  <si>
    <t>EQUAL TEE 316L D15</t>
  </si>
  <si>
    <t>END CAP 316L D15</t>
  </si>
  <si>
    <t>RED TEE 316L D15X1/2 NPT</t>
  </si>
  <si>
    <t>NIPPLE 316L D15X1/2 NPT M</t>
  </si>
  <si>
    <t>PIPE CLIP 304 D15 M8 20X</t>
  </si>
  <si>
    <t>TOOL JAW D15</t>
  </si>
  <si>
    <t>WALLMOUNT 316L D15X1/2 ISO228</t>
  </si>
  <si>
    <t>WALLMOUNT 316L D15X1/2NPT</t>
  </si>
  <si>
    <t>BALL VALVE 316L D15</t>
  </si>
  <si>
    <t>ASS. FLANGE 316L D15 DIN PN16</t>
  </si>
  <si>
    <t>COMPENSATOR 316L D15 PN10</t>
  </si>
  <si>
    <t>KIT SEAL D15 20PCS</t>
  </si>
  <si>
    <t>SWAN NECK 316L D15</t>
  </si>
  <si>
    <t>ASS. UNION 316L D15X1/2 NPT F</t>
  </si>
  <si>
    <t>NIPPLE 316L D15X3/4 NPT M</t>
  </si>
  <si>
    <t>NIPPLE 316L D15X3/4 NPT F</t>
  </si>
  <si>
    <t>PIPE CLIP 304 D15 3/8UNC 20X</t>
  </si>
  <si>
    <t>ASS. FLANGE 316L D15 ANSI COMP</t>
  </si>
  <si>
    <t>PIPE 304L D28 x1</t>
  </si>
  <si>
    <t>PIPE 316L D28 x1</t>
  </si>
  <si>
    <t>EQUAL SOCKET 316L D28</t>
  </si>
  <si>
    <t>ELBOW 90 DEG 316L D28</t>
  </si>
  <si>
    <t>ELBOW 45 DEG 316L D28</t>
  </si>
  <si>
    <t>EQUAL TEE 316L D28</t>
  </si>
  <si>
    <t>END CAP 316L D28</t>
  </si>
  <si>
    <t>PIPE CLIP 304 D28 M8 20X</t>
  </si>
  <si>
    <t>TOOL JAW D28</t>
  </si>
  <si>
    <t>BALL VALVE 316L D28</t>
  </si>
  <si>
    <t>COMPENSATOR 316L D28 PN10</t>
  </si>
  <si>
    <t>KIT SEAL D28 20PCS</t>
  </si>
  <si>
    <t>SWAN NECK 316L D28</t>
  </si>
  <si>
    <t>RED TEE 316L D28XD15</t>
  </si>
  <si>
    <t>RED TEE 316L D28X3/4 NPT</t>
  </si>
  <si>
    <t>NIPPLE 316L D28X3/4 NPT M</t>
  </si>
  <si>
    <t>REDUCER 316L MF D28XD15</t>
  </si>
  <si>
    <t>PIPE CLIP 304 D28 3/8UNC 20X</t>
  </si>
  <si>
    <t>ASS. FLANGE 316L D28 ANSI COMP</t>
  </si>
  <si>
    <t>ASS. UNION 316L D28X1 NPT F</t>
  </si>
  <si>
    <t>NIPPLE 316L D28X1 NPT M</t>
  </si>
  <si>
    <t>NIPPLE 316L D28X1 NPT F</t>
  </si>
  <si>
    <t>PIPE 304L D35 x1</t>
  </si>
  <si>
    <t>EQUAL SOCKET 316L D35</t>
  </si>
  <si>
    <t>ELBOW 90 DEG 316L D35</t>
  </si>
  <si>
    <t>ELBOW 45 DEG 316L D35</t>
  </si>
  <si>
    <t>EQUAL TEE 316L D35</t>
  </si>
  <si>
    <t>END CAP 316L D35</t>
  </si>
  <si>
    <t>PIPE CLIP 304 D35 M8 20X</t>
  </si>
  <si>
    <t>TOOL JAW D35</t>
  </si>
  <si>
    <t>BALL VALVE 316L D35</t>
  </si>
  <si>
    <t>COMPENSATOR 316L D35 PN10</t>
  </si>
  <si>
    <t>KIT SEAL D35 20PCS</t>
  </si>
  <si>
    <t>RED TEE 316L D35X3/4 NPT</t>
  </si>
  <si>
    <t>PIPE CLIP 304 D35 3/8UNC 20X</t>
  </si>
  <si>
    <t>ASS. FLANGE 316L D35 ANSI COMP</t>
  </si>
  <si>
    <t>RED TEE 316L D35XD28</t>
  </si>
  <si>
    <t>NIPPLE 316L D35X1 NPT M</t>
  </si>
  <si>
    <t>REDUCER 316L MF D35XD28</t>
  </si>
  <si>
    <t>ASS.UNION 316L D35X1 1/4 NPT F</t>
  </si>
  <si>
    <t>NIPPLE 316L D35X1 1/4 NPT M</t>
  </si>
  <si>
    <t>NIPPLE 316L D35X1 1/4 NPT F</t>
  </si>
  <si>
    <t>PIPE 304L D42</t>
  </si>
  <si>
    <t>PIPE 316L D42</t>
  </si>
  <si>
    <t>EQUAL SOCKET 316L D42</t>
  </si>
  <si>
    <t>ELBOW 90 DEG 316L D42</t>
  </si>
  <si>
    <t>ELBOW 45 DEG 316L D42</t>
  </si>
  <si>
    <t>EQUAL TEE 316L D42</t>
  </si>
  <si>
    <t>END CAP 316L D42</t>
  </si>
  <si>
    <t>PIPE CLIP 304 D42 M8 20X</t>
  </si>
  <si>
    <t>TOOL COLLAR D42</t>
  </si>
  <si>
    <t>BALL VALVE 316L D42</t>
  </si>
  <si>
    <t>COMPENSATOR 316L D42 PN10</t>
  </si>
  <si>
    <t>KIT SEAL D42 20PCS</t>
  </si>
  <si>
    <t>RED TEE 316L D42X3/4 NPT</t>
  </si>
  <si>
    <t>PIPE CLIP 304 D42 3/8UNC 20X</t>
  </si>
  <si>
    <t>ASS. FLANGE 316L D42 ANSI COMP</t>
  </si>
  <si>
    <t>RED TEE 316L D42XD35</t>
  </si>
  <si>
    <t>NIPPLE 316L D42X1 1/4 NPT M</t>
  </si>
  <si>
    <t>REDUCER 316L MF D42XD35</t>
  </si>
  <si>
    <t>ASS.UNION 316L D42X1 1/2 NPT F</t>
  </si>
  <si>
    <t>NIPPLE 316L D42X1 1/2 NPT M</t>
  </si>
  <si>
    <t>NIPPLE 316L D42X1 1/2 NPT F</t>
  </si>
  <si>
    <t>TOOL ADAPTER D42-D54</t>
  </si>
  <si>
    <t>PIPE 304L D54</t>
  </si>
  <si>
    <t>EQUAL SOCKET 316L D54</t>
  </si>
  <si>
    <t>ELBOW 90 DEG 316L D54</t>
  </si>
  <si>
    <t>ELBOW 45 DEG 316L D54</t>
  </si>
  <si>
    <t>EQUAL TEE 316L D54</t>
  </si>
  <si>
    <t>END CAP 316L D54</t>
  </si>
  <si>
    <t>PIPE CLIP 304 D54 M8 20X</t>
  </si>
  <si>
    <t>TOOL COLLAR D54</t>
  </si>
  <si>
    <t>BALL VALVE 316L D54</t>
  </si>
  <si>
    <t>COMPENSATOR 316L D54 PN10</t>
  </si>
  <si>
    <t>KIT SEAL D54 20PCS</t>
  </si>
  <si>
    <t>RED TEE 316L D54X3/4 NPT</t>
  </si>
  <si>
    <t>PIPE CLIP 304 D54 3/8UNC 20X</t>
  </si>
  <si>
    <t>ASS. FLANGE 316L D54 ANSI COMP</t>
  </si>
  <si>
    <t>RED TEE 316L D54XD42</t>
  </si>
  <si>
    <t>NIPPLE 316L D54X1 1/2 NPT M</t>
  </si>
  <si>
    <t>REDUCER 316L MF D54XD42</t>
  </si>
  <si>
    <t>ASS. UNION 316L D54X2 NPT F</t>
  </si>
  <si>
    <t>NIPPLE 316L D54X2 NPT M</t>
  </si>
  <si>
    <t>NIPPLE 316L D54X2 NPT F</t>
  </si>
  <si>
    <t>PIPE 304L D76 x1</t>
  </si>
  <si>
    <t>EQUAL SOCKET 316L D76</t>
  </si>
  <si>
    <t>ELBOW 90 DEG 316L D76</t>
  </si>
  <si>
    <t>ELBOW 45 DEG 316L D76</t>
  </si>
  <si>
    <t>EQUAL TEE 316L D76</t>
  </si>
  <si>
    <t>END CAP 316L D76</t>
  </si>
  <si>
    <t>PIPE CLIP 304 D76 M10 20X</t>
  </si>
  <si>
    <t>TOOL COLLAR D76</t>
  </si>
  <si>
    <t>BALL VALVE 316L D76</t>
  </si>
  <si>
    <t>KIT SEAL D76 10PCS</t>
  </si>
  <si>
    <t>RED TEE 316L D76X3/4 NPT</t>
  </si>
  <si>
    <t>PIPE CLIP 304 D76 3/8UNC 20X</t>
  </si>
  <si>
    <t>ASS. FLANGE 316L D76 ANSI COMP</t>
  </si>
  <si>
    <t>ASS. QUICKDROP 316L D76XD35</t>
  </si>
  <si>
    <t>RED TEE 316L D76XD54</t>
  </si>
  <si>
    <t>REDUCER 316L MF D76XD54</t>
  </si>
  <si>
    <t>NIPPLE 316L D76X2 1/2 NPT M</t>
  </si>
  <si>
    <t>PIPE 304L D89 x1</t>
  </si>
  <si>
    <t>EQUAL SOCKET 316L D89</t>
  </si>
  <si>
    <t>ELBOW 90 DEG 316L D89</t>
  </si>
  <si>
    <t>ELBOW 45 DEG 316L D89</t>
  </si>
  <si>
    <t>EQUAL TEE 316L D89</t>
  </si>
  <si>
    <t>END CAP 316L D89</t>
  </si>
  <si>
    <t>PIPE CLIP 304 D89 M10 20X</t>
  </si>
  <si>
    <t>TOOL COLLAR D89</t>
  </si>
  <si>
    <t>BALL VALVE 316L D89</t>
  </si>
  <si>
    <t>ASS. FLANGE 316L D89 DIN PN16</t>
  </si>
  <si>
    <t>KIT SEAL D89 10PCS</t>
  </si>
  <si>
    <t>RED TEE 316L D89X3/4 NPT</t>
  </si>
  <si>
    <t>PIPE CLIP 304 D89 3/8UNC 20X</t>
  </si>
  <si>
    <t>ASSEMBLY FLANGE 316L D89 ANSI</t>
  </si>
  <si>
    <t>ASSM QUICKDROP 316L D89XD42</t>
  </si>
  <si>
    <t>RED TEE 316L D89XD76</t>
  </si>
  <si>
    <t>REDUCER 316L MF D89XD76</t>
  </si>
  <si>
    <t>NIPPLE 316L D89X3 NPT M</t>
  </si>
  <si>
    <t>PIPE 304L D108  x1</t>
  </si>
  <si>
    <t>EQUAL SOCKET 316L D108</t>
  </si>
  <si>
    <t>ELBOW 90 DEG 316L D108</t>
  </si>
  <si>
    <t>ELBOW 45 DEG 316L D108</t>
  </si>
  <si>
    <t>EQUAL TEE 316L D108</t>
  </si>
  <si>
    <t>END CAP 316L D108</t>
  </si>
  <si>
    <t>TOOL COLLAR D108</t>
  </si>
  <si>
    <t>BALL VALVE 316L D108</t>
  </si>
  <si>
    <t>KIT SEAL D108 10PCS</t>
  </si>
  <si>
    <t>RED TEE 316L D108X3/4 NPT</t>
  </si>
  <si>
    <t>PIPE CLIP 304 D108 3/8UNC 20X</t>
  </si>
  <si>
    <t>ASS.FLANGE 316L D108 ANSI COMP</t>
  </si>
  <si>
    <t>ASS. QUICKDROP 316L D108XD54</t>
  </si>
  <si>
    <t>RED TEE 316L D108XD89</t>
  </si>
  <si>
    <t>REDUCER 316L MF D108XD89</t>
  </si>
  <si>
    <t>NIPPLE 316L D108X4 NPT M</t>
  </si>
  <si>
    <t>Threaded Reducing PF Series (FNPT)</t>
  </si>
  <si>
    <r>
      <t>Flange Bolts</t>
    </r>
    <r>
      <rPr>
        <b/>
        <sz val="9"/>
        <color theme="4"/>
        <rFont val="Calibri"/>
        <family val="2"/>
        <scheme val="minor"/>
      </rPr>
      <t xml:space="preserve">                                  (for use with butterfly valves)</t>
    </r>
  </si>
  <si>
    <t xml:space="preserve"> Union Adapter (NPT)</t>
  </si>
  <si>
    <r>
      <rPr>
        <b/>
        <sz val="14"/>
        <color theme="4"/>
        <rFont val="Calibri"/>
        <family val="2"/>
      </rPr>
      <t>Union Adapters</t>
    </r>
    <r>
      <rPr>
        <sz val="14"/>
        <color theme="4"/>
        <rFont val="Calibri"/>
        <family val="2"/>
      </rPr>
      <t xml:space="preserve"> gives you the ability to replace equipment      (Ex: filters) without removing pipe</t>
    </r>
  </si>
  <si>
    <t>Adapters Unions &amp; Threaded Connectors</t>
  </si>
  <si>
    <t xml:space="preserve">20 / ¾" </t>
  </si>
  <si>
    <t xml:space="preserve">25 / 1" </t>
  </si>
  <si>
    <t xml:space="preserve">40 / 1½" </t>
  </si>
  <si>
    <t xml:space="preserve">50 / 2" </t>
  </si>
  <si>
    <t>2 1/2" - 3"</t>
  </si>
  <si>
    <t>2 handle deburrer</t>
  </si>
  <si>
    <t>Locking handle</t>
  </si>
  <si>
    <t>Locking Handle</t>
  </si>
  <si>
    <t>40-50mm / 1 1/2" - 2"</t>
  </si>
  <si>
    <t>20-25mm / 3/4" - 1"</t>
  </si>
  <si>
    <t>PF Series - Lock Out / Tag Out (Handles Only)</t>
  </si>
  <si>
    <t>Strap Wrench</t>
  </si>
  <si>
    <r>
      <t>Use with Quick Drops to rotate pipe against wall (</t>
    </r>
    <r>
      <rPr>
        <sz val="11"/>
        <color theme="1"/>
        <rFont val="Calibri"/>
        <family val="2"/>
      </rPr>
      <t>~</t>
    </r>
    <r>
      <rPr>
        <sz val="11"/>
        <color theme="1"/>
        <rFont val="Calibri"/>
        <family val="2"/>
        <scheme val="minor"/>
      </rPr>
      <t>6.5" offset)</t>
    </r>
  </si>
  <si>
    <t>Use with Quick Drops to rotate pipe against wall (~6.5" offset)</t>
  </si>
  <si>
    <t>*2*</t>
  </si>
  <si>
    <t>4 liter bottles (Qty - 4)</t>
  </si>
  <si>
    <t>MANUAL DATA ENTRY</t>
  </si>
  <si>
    <t>PN's w/ leading 0</t>
  </si>
  <si>
    <t>PRICE AUDIT updates per Pat / Leo</t>
  </si>
  <si>
    <t>DJH</t>
  </si>
  <si>
    <t>SS Anomoly EDITS to Quoter from SAP</t>
  </si>
  <si>
    <t>Update PRODUCTS AVAILABLE to quote</t>
  </si>
  <si>
    <t>PRICING UPDATE</t>
  </si>
  <si>
    <t>AIRnet PN</t>
  </si>
  <si>
    <t>Local List $</t>
  </si>
  <si>
    <t>PASTE HERE \/ \/ \/</t>
  </si>
  <si>
    <t>Formatted for VLOOKUP</t>
  </si>
  <si>
    <t>PART NUMBER</t>
  </si>
  <si>
    <t>DESCRIPTION</t>
  </si>
  <si>
    <t>Flat Gasket        63mm                              TEXT PRICES ONLY, NO VlookUp</t>
  </si>
  <si>
    <t>ACCESSORIES</t>
  </si>
  <si>
    <t>Flat Gasket        80mm                        SS also</t>
  </si>
  <si>
    <t>HEX. DRIVE SOCKET</t>
  </si>
  <si>
    <t>Flat Gasket        100mm                      SS also</t>
  </si>
  <si>
    <t>TORQUE INDICATOR</t>
  </si>
  <si>
    <r>
      <t xml:space="preserve">Flat Gasket        158mm                                                    </t>
    </r>
    <r>
      <rPr>
        <b/>
        <sz val="8"/>
        <rFont val="Arial"/>
        <family val="2"/>
      </rPr>
      <t>Enter MANUALLY</t>
    </r>
  </si>
  <si>
    <t>GASKET-FLAT:M 17.0/ 21.0X1.5</t>
  </si>
  <si>
    <t>Gasket      D54       2"</t>
  </si>
  <si>
    <t>SS</t>
  </si>
  <si>
    <t>ADAPTER:M8 MALEX0.375 UNC FEM</t>
  </si>
  <si>
    <t>Gasket      D15      1/2"</t>
  </si>
  <si>
    <t>Gasket      D28      1"</t>
  </si>
  <si>
    <t>Gasket      D42      1 1/2"</t>
  </si>
  <si>
    <t>VALVE-BALL:1.0FNPT - AIRNET</t>
  </si>
  <si>
    <t>Gasket      D35      1 1/4"</t>
  </si>
  <si>
    <t>VALVE-BALL:1.5FNPT - AIRNET</t>
  </si>
  <si>
    <t>Gasket      D76      2 3/4"</t>
  </si>
  <si>
    <t>2 3/4"</t>
  </si>
  <si>
    <t>VALVE-BALL:2.0FNPT - AIRNET</t>
  </si>
  <si>
    <t>VALVE-BALL:2.5FNPT - AIRNET</t>
  </si>
  <si>
    <t>ALUMINUM AIRnet</t>
  </si>
  <si>
    <t>Aluminium Pipe 5.7m (18.7ft)</t>
  </si>
  <si>
    <t>HOSE:0.375ID X12FT LONG SPIRAL</t>
  </si>
  <si>
    <t>HOSE:0.375ID X20FT LONG SPIRAL</t>
  </si>
  <si>
    <t>Aluminium Pipe 2.85m (9.35ft) DISCONTINUED</t>
  </si>
  <si>
    <t>Aluminium Pipe Gray for Vacuum 5.7m (18.7ft) NON-STOCK ITEM</t>
  </si>
  <si>
    <t>Aluminium Pipe for Inert Gases / Nitrogen 5.7m (18.7')</t>
  </si>
  <si>
    <t>Aluminium Pipe for Inert Gases / Nitrogen 5.7m (18.7') NON-STOCK ITEM</t>
  </si>
  <si>
    <t>Double S-Bend small 20mm</t>
  </si>
  <si>
    <t>Double S-Bend Large 25mm</t>
  </si>
  <si>
    <t>Pipe Clip - PF Series / 20 pack</t>
  </si>
  <si>
    <t>Pipe Clip - 4 inch ID / 1 each</t>
  </si>
  <si>
    <t>Pipe Clip 158 mm - 10 pack</t>
  </si>
  <si>
    <t>Pipe Clip Spacer 10 pack</t>
  </si>
  <si>
    <t>40-50-63</t>
  </si>
  <si>
    <t>ADAPTER 1/4" - 3/8"</t>
  </si>
  <si>
    <t>ADAPTER 5/16" - 3/8"</t>
  </si>
  <si>
    <t>Equal socket - PF Series</t>
  </si>
  <si>
    <t>PM Series Equal Union D63</t>
  </si>
  <si>
    <t>PM Series Equal Union D80</t>
  </si>
  <si>
    <t>Equal socket</t>
  </si>
  <si>
    <t>Reduction socket - D25-D20 PF Series</t>
  </si>
  <si>
    <t>ReductionSocket D40-D25 PF</t>
  </si>
  <si>
    <t>40-20</t>
  </si>
  <si>
    <t>Reduction socket D50-D40</t>
  </si>
  <si>
    <t>PM Series Linear Reducing Union D63-D50</t>
  </si>
  <si>
    <t>PM Series Linear Reducing Union D80-D63</t>
  </si>
  <si>
    <t>Reduction socket D100-D80</t>
  </si>
  <si>
    <t>Reduction socket D158 D100</t>
  </si>
  <si>
    <t>90° Elbow - PF Series</t>
  </si>
  <si>
    <t>PM Series Equal Elbow 90* D63</t>
  </si>
  <si>
    <t>PM Series Equal Elbow 90* D80</t>
  </si>
  <si>
    <t>45° Elbow - PF Series</t>
  </si>
  <si>
    <t>PM Series Elbow 45* D63</t>
  </si>
  <si>
    <t>PM Series Elbow 45* D80</t>
  </si>
  <si>
    <t>PM Series Equal Tee D63</t>
  </si>
  <si>
    <t>PM Series Equal Tee D80</t>
  </si>
  <si>
    <t>Equal Tee D100</t>
  </si>
  <si>
    <t>Equal Tee D158</t>
  </si>
  <si>
    <t>Reduction Tee</t>
  </si>
  <si>
    <t>PM Series Reducing Tee D63-D40</t>
  </si>
  <si>
    <t>PM Series Reducing Tee D63-D50</t>
  </si>
  <si>
    <t>PM Series Reduction Tee D80-D40</t>
  </si>
  <si>
    <t>PM Series Reduction Tee D80-D50</t>
  </si>
  <si>
    <t>PM Series Reduction Tee D80-D63</t>
  </si>
  <si>
    <t>PIPE CLIP D40-50-63 Q=10</t>
  </si>
  <si>
    <t>Reduction Tee Female Threaded - PF</t>
  </si>
  <si>
    <t>PM Series Reduction Tee NPT D63-2" Female</t>
  </si>
  <si>
    <t>PM Series Reduction Tee F-NPT D80-2 1/2" Female</t>
  </si>
  <si>
    <t>PM Series Reduction Tee F-NPT D80-3" Female</t>
  </si>
  <si>
    <t>Reduction Tee Female Threaded</t>
  </si>
  <si>
    <t>Quick Drop - PF Series</t>
  </si>
  <si>
    <t>Quick Drop PF Series - Female Threaded 25 - 1/2</t>
  </si>
  <si>
    <t>25 - 1/2</t>
  </si>
  <si>
    <t>Quick Drop PF Series - Female Threaded 40 - 1/2</t>
  </si>
  <si>
    <t>40 - 1/2</t>
  </si>
  <si>
    <t>Quick Drop PF Series - Female Threaded 40 - 3/4 in</t>
  </si>
  <si>
    <t>40 - 3/4</t>
  </si>
  <si>
    <t>Quick Drop PF Series - Female Threaded 50 - 1/2F</t>
  </si>
  <si>
    <t>50 - 1/2</t>
  </si>
  <si>
    <t>Quick Drop PF Series - Female Threaded 50 - 3/4 in</t>
  </si>
  <si>
    <t>50 - 3/4</t>
  </si>
  <si>
    <t>Quick Drop PF Series - Female Threaded 63 - 1/2F</t>
  </si>
  <si>
    <t>63 - 1/2</t>
  </si>
  <si>
    <t>GRIPPLE HANGER STUD 15' - Q=5</t>
  </si>
  <si>
    <t>Quick Drop PF Series - Female Threaded 63 - 3/4 in F</t>
  </si>
  <si>
    <t>63 - 3/4</t>
  </si>
  <si>
    <t>Quick Drop PF Series - Female Threaded 80 - 1/2F</t>
  </si>
  <si>
    <t>80 - 1/2</t>
  </si>
  <si>
    <t>Quick Drop PF Series - Female Threaded 80 - 3/4 in F</t>
  </si>
  <si>
    <t>80 - 3/4</t>
  </si>
  <si>
    <t>NEW - D100 / D158 Quick Drop Aluminum Fittings P-to-P/F-NPT 3/4-2"</t>
  </si>
  <si>
    <t>Quick drop D100 x D20</t>
  </si>
  <si>
    <t>Quick drop threaded ISO D100 x D20</t>
  </si>
  <si>
    <t>Quick drop threaded NPT D100 x D20</t>
  </si>
  <si>
    <t>Quick drop D100 x D25</t>
  </si>
  <si>
    <t>Quick drop threaded ISO D100 x D25</t>
  </si>
  <si>
    <t>Quick drop threaded NPT D100 x D25</t>
  </si>
  <si>
    <t>Quick drop D100 x D40</t>
  </si>
  <si>
    <t>Quick drop threaded ISO D100 x D40</t>
  </si>
  <si>
    <t>Quick drop threaded NPT D100 x D40</t>
  </si>
  <si>
    <t>Quick drop D100 x D50</t>
  </si>
  <si>
    <t>Quick drop threaded ISO D100 x D50</t>
  </si>
  <si>
    <t>Quick drop threaded NPT D100 x D50</t>
  </si>
  <si>
    <t>Quick drop D158 x D20</t>
  </si>
  <si>
    <t>Quick drop threaded ISO D158 x D20</t>
  </si>
  <si>
    <t>Quick drop threaded NPT D158 x D20</t>
  </si>
  <si>
    <t>Quick drop D158 x D25</t>
  </si>
  <si>
    <t>Quick drop threaded ISO D158 x D25</t>
  </si>
  <si>
    <t>Quick drop threaded NPT D158 x D25</t>
  </si>
  <si>
    <t>Quick drop D158 x D40</t>
  </si>
  <si>
    <t>Quick drop threaded ISO D158 x D40</t>
  </si>
  <si>
    <t>Quick drop threaded NPT D158 x D40</t>
  </si>
  <si>
    <t>Quick drop D158 x D50</t>
  </si>
  <si>
    <t>Quick drop threaded ISO D158 x D50</t>
  </si>
  <si>
    <t>Quick drop threaded NPT D158 x D50</t>
  </si>
  <si>
    <t>Nipple socket, Alu male threaded - PF</t>
  </si>
  <si>
    <t>PM Series M-NPT Adapter D63-2" Male</t>
  </si>
  <si>
    <t>PM Series M-NPT Adapter D63-2 1/2" Male</t>
  </si>
  <si>
    <t>PM Series M-NPT Adapter D80-2 1/2" Male</t>
  </si>
  <si>
    <t>PM Series M-NPT Adapter D80-3" Male</t>
  </si>
  <si>
    <t>Adaptor Union female - PF - KIT Adaptor</t>
  </si>
  <si>
    <t>KIT AIRNET D40XNPT 1"</t>
  </si>
  <si>
    <t>KIT AIRNET D50XNPT 1 1/2"</t>
  </si>
  <si>
    <t>KIT AIRNET D40XNPT 2"</t>
  </si>
  <si>
    <t>PM Series KIT-REDUCTION Union Adapter D63-2" NPT-F</t>
  </si>
  <si>
    <t>PM Series KIT-REDUCTION Union Adapter D80-2 1/2" NPT-F</t>
  </si>
  <si>
    <t>PM Series KIT-REDUCTION Union Adapter D80-3" NPT-F</t>
  </si>
  <si>
    <t>KIT</t>
  </si>
  <si>
    <t>Adaptor Union female - PF</t>
  </si>
  <si>
    <t>PM Series Union Adapter - FEMALE 2 1/2"-D63</t>
  </si>
  <si>
    <t>PM Series Union Adapter - FEMALE 3"-D80</t>
  </si>
  <si>
    <t>End Cap - PF</t>
  </si>
  <si>
    <t>PM Series End Cap D63</t>
  </si>
  <si>
    <t>PM Series End Cap D80</t>
  </si>
  <si>
    <t>100-158</t>
  </si>
  <si>
    <t xml:space="preserve">VALVE PUSH FIT D25 </t>
  </si>
  <si>
    <t>BALL VALVE D40</t>
  </si>
  <si>
    <t>BALL VALVE D50</t>
  </si>
  <si>
    <t xml:space="preserve">VALVE THREADED D20 X 3/4 NPT </t>
  </si>
  <si>
    <t>VALVE SET Q=4 DN40X1.1/2NPT   VALVE SET Q=4 DN40X1.1/2NPT</t>
  </si>
  <si>
    <t>VALVE SET Q=2 DN50X2NPT       VALVE SET Q=2 DN50X2NPT</t>
  </si>
  <si>
    <t>PM Series Butterfly Valve Pipe-to-Pipe D63-D63</t>
  </si>
  <si>
    <t>PM Series Butterfly Valve D80 Pipe-to-Pipe</t>
  </si>
  <si>
    <t>PM Series Butterfly Valve D80-FEMALE 3" NPT</t>
  </si>
  <si>
    <t>PM Series Butterfly Valve D63-FEMALE 2 1/2" NPT</t>
  </si>
  <si>
    <t>PM Series Flange D63 ANSI</t>
  </si>
  <si>
    <t>PM Series Flange D80 ANSI</t>
  </si>
  <si>
    <t>Spare Bolts &amp; Pins - OBSOLETE -</t>
  </si>
  <si>
    <t>OBSOL.</t>
  </si>
  <si>
    <t>Long Bolts Flange</t>
  </si>
  <si>
    <t>Flange 63mm PM w/ M-NPT</t>
  </si>
  <si>
    <t>Flange 80mm PM w/ M-NPT</t>
  </si>
  <si>
    <t>ANSI Flange 100mm</t>
  </si>
  <si>
    <t>ANSI Flange 158mm</t>
  </si>
  <si>
    <t>Lock Out / Tag Out Valve Handles - 20 / 25 mm</t>
  </si>
  <si>
    <t>Lock Out / Tag Out Valve Handles - 40 / 50 mm</t>
  </si>
  <si>
    <t>VALVE SUPPORT</t>
  </si>
  <si>
    <t>Manifold, 3 outlet Ports female Threaded - PF Series</t>
  </si>
  <si>
    <t>Manifold 1/2 NPT Inlet &amp; 3 outlet Ports female Threaded - PF</t>
  </si>
  <si>
    <t>Manifold 3/4 NPT Inlet &amp; 3 outlet Ports female Threaded - PF</t>
  </si>
  <si>
    <t>Single Port Manifold PF Series Sm 20mm Inlet - 1/2" Outlet</t>
  </si>
  <si>
    <t>Single Port Manifold PF Series LG 25mm Inlet - 1/2" Outlet</t>
  </si>
  <si>
    <t>Manifold 20mm NPT</t>
  </si>
  <si>
    <t>Manifold 25mm NPT</t>
  </si>
  <si>
    <t>TOOL ALLEN WRENCH L KEY 5MM</t>
  </si>
  <si>
    <t>Threaded Plugs for Manifold Outlets - 1/2" Male (2 pack)</t>
  </si>
  <si>
    <t>Spare Nut PF Series</t>
  </si>
  <si>
    <t>SPARE PARTS</t>
  </si>
  <si>
    <t>Quick Drop O Ring Custom Seal PF</t>
  </si>
  <si>
    <t>Empty Tool Box</t>
  </si>
  <si>
    <t>Fitting O-ring set D25</t>
  </si>
  <si>
    <t>Threaded Rod 3/8"</t>
  </si>
  <si>
    <t>Bracket</t>
  </si>
  <si>
    <t>Threaded Rod 1/4"</t>
  </si>
  <si>
    <t>Threaded Rod 5/16""</t>
  </si>
  <si>
    <t>Hanger Loop 5' - 10 pack</t>
  </si>
  <si>
    <t>AIRnet Spanner 20</t>
  </si>
  <si>
    <t>AIRnet Spanner 25</t>
  </si>
  <si>
    <t>AIRnet Spanner 40</t>
  </si>
  <si>
    <t>AIRnet Spanner 50</t>
  </si>
  <si>
    <t>SPANNER 63</t>
  </si>
  <si>
    <t>AIRnet Spanner 63</t>
  </si>
  <si>
    <t>SPANNER 80</t>
  </si>
  <si>
    <t>AIRnet Spanner D80 PM</t>
  </si>
  <si>
    <t>AIRnet Spanner 80</t>
  </si>
  <si>
    <t>PM Series Spanner Tool NEW D63</t>
  </si>
  <si>
    <t>PM Series Spanner Tool NEW D80</t>
  </si>
  <si>
    <t>Alu Pipe DeburrerØ20-25mm</t>
  </si>
  <si>
    <t>Alu Pipe Deburrer Ø20-50mm</t>
  </si>
  <si>
    <t xml:space="preserve">CUTTING RING D48-170   </t>
  </si>
  <si>
    <t>CUTTING RING D48-171</t>
  </si>
  <si>
    <t>Slide Fluid Water base</t>
  </si>
  <si>
    <t>Slide Fluid Water base (4) 1 litre bottles</t>
  </si>
  <si>
    <t>Torque Wrench w/ Head</t>
  </si>
  <si>
    <t>Aluminum Pipe - GRAY - 5.7m (18.7')</t>
  </si>
  <si>
    <t>Drill Bit</t>
  </si>
  <si>
    <t>Drill Bit Holder</t>
  </si>
  <si>
    <t>AIRnet Toolbox - Large Diameters - NEW D63-D158</t>
  </si>
  <si>
    <t>AIRnet Toolbox - PF</t>
  </si>
  <si>
    <t>QUICK COUPLER</t>
  </si>
  <si>
    <t>PLUG</t>
  </si>
  <si>
    <t>ANTI WHIP-LASH STRAP 1/2-1.1/4ANTI WHIP-LASH STRAP 1/2-1.1/4</t>
  </si>
  <si>
    <t>ANTI WHIP-LASH STRAP 1.1/2+-3+ANTI WHIP-LASH STRAP 1.1/2"-3"</t>
  </si>
  <si>
    <t>Hanger Gripple</t>
  </si>
  <si>
    <t>TEE EQUAL D25</t>
  </si>
  <si>
    <t>Tool Cutter 100 - 170 mm LARGE</t>
  </si>
  <si>
    <t>L Key for Quick Drop - 6MM</t>
  </si>
  <si>
    <t>TOOLS</t>
  </si>
  <si>
    <t>Hole Deburrer 100mm - Large Yellow Handle</t>
  </si>
  <si>
    <t>Hole Saw 24mm for 1 1/2" &amp; Up PF Header</t>
  </si>
  <si>
    <t>L Key for Quick Drops - 5mm</t>
  </si>
  <si>
    <t>Set Spacer 80mm flange Support</t>
  </si>
  <si>
    <t>Set Spacer 100mm flange Support</t>
  </si>
  <si>
    <t>FLANGE SUPPORT / VALVE SUPPORT 63mm BFV</t>
  </si>
  <si>
    <t>FLANGE SUPPORT / VALVE SUPPORT 80mm BFV</t>
  </si>
  <si>
    <t>Aluminium Pipe - GRAY 5.7m</t>
  </si>
  <si>
    <t xml:space="preserve">VALVE-BALL:0.5MNPT X 0.5FNPT </t>
  </si>
  <si>
    <t xml:space="preserve">VALVE-BALL:0.75MNPT X 0.75FNPT </t>
  </si>
  <si>
    <t xml:space="preserve">VALVE-BALL:0.5FNPT - AIRNET </t>
  </si>
  <si>
    <t xml:space="preserve">VALVE-BALL:1.0FNPT - AIRNET </t>
  </si>
  <si>
    <t xml:space="preserve">VALVE-BALL:1.25FNPT-AIRNET  </t>
  </si>
  <si>
    <t xml:space="preserve">VALVE-BALL:1.5FNPT - AIRNET </t>
  </si>
  <si>
    <t xml:space="preserve">VALVE-BALL:2.0FNPT - AIRNET  </t>
  </si>
  <si>
    <t xml:space="preserve">HOSE-REEL:OPEN FOR 50FT .375ID </t>
  </si>
  <si>
    <t xml:space="preserve">HOSE-REEL:OPEN FOR 30FT .375ID </t>
  </si>
  <si>
    <t xml:space="preserve">HOSE-REEL:ENCLOSED 50FT .25ID  </t>
  </si>
  <si>
    <t xml:space="preserve">HOSE-REEL:ENCLOSED 50FT .375ID </t>
  </si>
  <si>
    <t xml:space="preserve">HOSE:.375IDX25FT 300PSI SHOP  </t>
  </si>
  <si>
    <t xml:space="preserve">HOSE:0.375ID X20FT LONG SPIRAL </t>
  </si>
  <si>
    <t xml:space="preserve">BUSHING-PIPE:3.0"MNPT x 2.50" </t>
  </si>
  <si>
    <t xml:space="preserve">BUSHING-PIPE:3.0"MNPT x 2"FNPT </t>
  </si>
  <si>
    <t xml:space="preserve">BUSHING-PIPE:2"MNPT X1.5"FNPT </t>
  </si>
  <si>
    <t xml:space="preserve">BUSHING-PIPE:1'MNPT X .75"FNPT </t>
  </si>
  <si>
    <t>BUSHING:1/2"M x 1/4"F,</t>
  </si>
  <si>
    <t>BUSHING:1/2"M x 3/8"F,</t>
  </si>
  <si>
    <t>BUSHING:3/4"M x 1/2"F,</t>
  </si>
  <si>
    <t xml:space="preserve">ADAPTER:M8 MALEX0.375 UNC FEM </t>
  </si>
  <si>
    <t>Adapter (2pcs) 5/16" bolt - 3/8" Coupler</t>
  </si>
  <si>
    <t>HOSE ASSY 3/4" STRAIGHT 2.5 FT       (2810105700)</t>
  </si>
  <si>
    <t>HOSE ASSY 3/4" STRAIGHT 4.9 FT       (2810115700)</t>
  </si>
  <si>
    <t>HOSE ASSY 1" STRAIGHT 2.5 FT          (2810205700)</t>
  </si>
  <si>
    <t>HOSE ASSY 1" STRAIGHT 4.9 FT          (2810215700)</t>
  </si>
  <si>
    <t>HOSE ASSY 1 1/2" STRAIGHT 4.9 FT    (2810415700)</t>
  </si>
  <si>
    <t>HOSE ASSY 2" STRAIGHT 4.9 FT          (2810515700)</t>
  </si>
  <si>
    <t>AIRnet Demo BOX - PF</t>
  </si>
  <si>
    <t>AIRnet Demo BOX</t>
  </si>
  <si>
    <t>AIRnet Spiral Hose 16x10mm - 5M Long EXHAUST STOCK - OBSOLETE</t>
  </si>
  <si>
    <t>AIRnet Spiral Hose 16x10mm - 10M Long</t>
  </si>
  <si>
    <t>Female-Female Socket 1/2" - 1/2"</t>
  </si>
  <si>
    <t>ACCES.</t>
  </si>
  <si>
    <t>Female-Female Socket 3/4" - 3/4"</t>
  </si>
  <si>
    <t>Female-Female Socket 1" - 1"</t>
  </si>
  <si>
    <t>Female-Female Socket 1 1/4" - 1 1/4"</t>
  </si>
  <si>
    <t>PIPE STRAIGHT D40 GREEN</t>
  </si>
  <si>
    <t>Female-Female Socket 1 1/2" - 1 1/2"</t>
  </si>
  <si>
    <t>PIPE STRAIGHT D40 GREY</t>
  </si>
  <si>
    <t>Female-Female Socket 2" - 2"</t>
  </si>
  <si>
    <t>Male-Male HEX 1/2" - 1/2"</t>
  </si>
  <si>
    <t>Male-Male HEX 3/4" - 3/4"</t>
  </si>
  <si>
    <t>Male-Male HEX 1" - 1"</t>
  </si>
  <si>
    <t>Male-Male HEX 1 1/2" - 1 1/2"</t>
  </si>
  <si>
    <t>Male-Male HEX 2" - 2"</t>
  </si>
  <si>
    <t xml:space="preserve">PA Series &amp; P.O.U. ACCESSORIES 2.0 </t>
  </si>
  <si>
    <t>Hanger Bolt for pipe clamps</t>
  </si>
  <si>
    <t>Socket Box Alu 4x1 - 1/2</t>
  </si>
  <si>
    <t>Socket Box 2x1/2</t>
  </si>
  <si>
    <t>Socket Box 3x1/2</t>
  </si>
  <si>
    <t>Socket Box 4x1/2</t>
  </si>
  <si>
    <t>Socket Box 6x1/2</t>
  </si>
  <si>
    <t>Socket Box Top 2x1/2</t>
  </si>
  <si>
    <t>Socket Box Top  3x1/2</t>
  </si>
  <si>
    <t>Socket Box Top  4x1/2</t>
  </si>
  <si>
    <t>Socket Box Mini 3/8 - 1/2</t>
  </si>
  <si>
    <t>Socket Box Mini 2x3/8 - 1/2</t>
  </si>
  <si>
    <t>Socket Box Mini 3/8 - 2x1/2</t>
  </si>
  <si>
    <t>Shear</t>
  </si>
  <si>
    <t>2 spare blades for shear</t>
  </si>
  <si>
    <t>Marking and deburring tool</t>
  </si>
  <si>
    <t>Pipe Cutter D32</t>
  </si>
  <si>
    <t>Pipe Cutter D32 spare Cutting Wheel</t>
  </si>
  <si>
    <t>Deburring tool D35</t>
  </si>
  <si>
    <t>Deburring blade</t>
  </si>
  <si>
    <t>Anti-friction agent</t>
  </si>
  <si>
    <t>PA Pipe D15 5,7m</t>
  </si>
  <si>
    <t>Equal socket D15</t>
  </si>
  <si>
    <t>Sliding equal socket D15</t>
  </si>
  <si>
    <t>90 Deg. Elbow D15</t>
  </si>
  <si>
    <t>90 Deg. Elbow D15-1/2 ISO7R</t>
  </si>
  <si>
    <t>45 Deg. Elbow D15</t>
  </si>
  <si>
    <t>Equal tee D15</t>
  </si>
  <si>
    <t>End cap D15</t>
  </si>
  <si>
    <t>Threaded adapter D15-1/2 ISO7R</t>
  </si>
  <si>
    <t>Nipple socket D15 1/2 ISO7R male</t>
  </si>
  <si>
    <t>Nipple socket D15 1/2 ISO228 female</t>
  </si>
  <si>
    <t>Pipe clip D15</t>
  </si>
  <si>
    <t>Disassembly pliers D15</t>
  </si>
  <si>
    <t>Ball valve D15</t>
  </si>
  <si>
    <t>PA Pipe D15 25m</t>
  </si>
  <si>
    <t>Disassembly clip D15</t>
  </si>
  <si>
    <t>PA Pipe D15 10m</t>
  </si>
  <si>
    <t>Pipe clamp D15-D18</t>
  </si>
  <si>
    <t>PIPE STRAIGHT GREEN</t>
  </si>
  <si>
    <t>PA UV Pipe D15 25m</t>
  </si>
  <si>
    <t>AL Pipe D15 5,7m</t>
  </si>
  <si>
    <t>PA Pipe D18 5,7m</t>
  </si>
  <si>
    <t>Equal socket D18</t>
  </si>
  <si>
    <t>Sliding equal socket D18</t>
  </si>
  <si>
    <t>90 Deg. Elbow D18</t>
  </si>
  <si>
    <t>90 Deg. Elbow D18-1/2 ISO7R</t>
  </si>
  <si>
    <t>45 Deg. Elbow D18</t>
  </si>
  <si>
    <t>Equal tee D18</t>
  </si>
  <si>
    <t>End cap D18</t>
  </si>
  <si>
    <t>Threaded adapter D18-1/2 ISO7R</t>
  </si>
  <si>
    <t>Nipple socket D18 1/2 ISO7R male</t>
  </si>
  <si>
    <t>Nipple socket D18 1/2 ISO228 female</t>
  </si>
  <si>
    <t>Pipe clip D18</t>
  </si>
  <si>
    <t>Disassembly pliers D18</t>
  </si>
  <si>
    <t>Ball valve D18</t>
  </si>
  <si>
    <t>PA Pipe D18 25m</t>
  </si>
  <si>
    <t>Threaded adapter D18-3/4 ISO7R</t>
  </si>
  <si>
    <t>Nipple socket D18 3/4 ISO7R male</t>
  </si>
  <si>
    <t>Nipple socket D18 3/4 ISO228 female</t>
  </si>
  <si>
    <t>PA Pipe D18 10m</t>
  </si>
  <si>
    <t>Disassembly clip D18</t>
  </si>
  <si>
    <t>PA UV Pipe D18 25m</t>
  </si>
  <si>
    <t>AL Pipe D18 5,7m</t>
  </si>
  <si>
    <t>PA Pipe D22 5,7m</t>
  </si>
  <si>
    <t>Equal socket D22</t>
  </si>
  <si>
    <t>Sliding equal socket D22</t>
  </si>
  <si>
    <t>90 Deg. Elbow D22</t>
  </si>
  <si>
    <t>45 Deg. Elbow D22</t>
  </si>
  <si>
    <t>Equal tee D22</t>
  </si>
  <si>
    <t>End cap D22</t>
  </si>
  <si>
    <t>Threaded adapter D22-1/2 ISO7R</t>
  </si>
  <si>
    <t>Nipple socket D22 1/2 ISO7R male</t>
  </si>
  <si>
    <t>Nipple socket D22 1/2 ISO228 female</t>
  </si>
  <si>
    <t>Pipe clip D22</t>
  </si>
  <si>
    <t>Disassembly pliers D22</t>
  </si>
  <si>
    <t>Ball valve D22</t>
  </si>
  <si>
    <t>PA Pipe D22 25m</t>
  </si>
  <si>
    <t>90 Deg. Elbow D22-3/4 ISO7R</t>
  </si>
  <si>
    <t>Reduction tee D22 D15 D22</t>
  </si>
  <si>
    <t>Threaded adapter D22-3/4 ISO7R</t>
  </si>
  <si>
    <t>Nipple socket D22 3/4 ISO7R male</t>
  </si>
  <si>
    <t>PM Series D63 Spanner Tool NEW</t>
  </si>
  <si>
    <t>Nipple socket D22 3/4 ISO228 female</t>
  </si>
  <si>
    <t>Pipe end adapter D22-D15</t>
  </si>
  <si>
    <t>PA UV Pipe D22 5,7m</t>
  </si>
  <si>
    <t>Reduction tee D22 D18 D22</t>
  </si>
  <si>
    <t>PIPE STRAIGHT D63 GREEN</t>
  </si>
  <si>
    <t>Pipe end adapter D22-D18</t>
  </si>
  <si>
    <t>PIPE STRAIGHT D63 GREY</t>
  </si>
  <si>
    <t>PA UV Pipe D22 25m</t>
  </si>
  <si>
    <t>Pipe clamp D22</t>
  </si>
  <si>
    <t>Disassembly clip D22</t>
  </si>
  <si>
    <t>AL Pipe D22 5,7m</t>
  </si>
  <si>
    <t>PA Pipe D28 5,7m</t>
  </si>
  <si>
    <t>Equal socket D28</t>
  </si>
  <si>
    <t>Sliding equal socket D28</t>
  </si>
  <si>
    <t>90 Deg. Elbow D28</t>
  </si>
  <si>
    <t>45 Deg. Elbow D28</t>
  </si>
  <si>
    <t>Equal tee D28</t>
  </si>
  <si>
    <t>End cap D28</t>
  </si>
  <si>
    <t>Pipe clip D28</t>
  </si>
  <si>
    <t>Disassembly pliers D28</t>
  </si>
  <si>
    <t>Ball valve D28</t>
  </si>
  <si>
    <t>PA Pipe D28 25m</t>
  </si>
  <si>
    <t>90 Deg. Elbow D28-1 ISO7R</t>
  </si>
  <si>
    <t>Reduction tee D28 D18 D28</t>
  </si>
  <si>
    <t>Threaded adapter D28-1 ISO7R</t>
  </si>
  <si>
    <t>Nipple socket D28 1 ISO7R male</t>
  </si>
  <si>
    <t>Nipple socket D28 1 ISO228 female</t>
  </si>
  <si>
    <t>Pipe end adapter D28-D18</t>
  </si>
  <si>
    <t>Reduction tee D28 D22 D28</t>
  </si>
  <si>
    <t>Reduction tee D28 D22 D22</t>
  </si>
  <si>
    <t>TOOL SPANNER D63 PM</t>
  </si>
  <si>
    <t>Pipe end adapter D28-D22</t>
  </si>
  <si>
    <t>AL Pipe D28 5,7m</t>
  </si>
  <si>
    <t>Pipe clamp D28</t>
  </si>
  <si>
    <t>Disassembly clip D28</t>
  </si>
  <si>
    <t>C PN-S-E-1/4"m</t>
  </si>
  <si>
    <t>C PN-S-E-3/8"m</t>
  </si>
  <si>
    <t>C PN-S-E-1/2"m</t>
  </si>
  <si>
    <t>C PN-S-E-1/4"f</t>
  </si>
  <si>
    <t>C PN-S-E-3/8"f</t>
  </si>
  <si>
    <t>C PN-S-E-1/2"f</t>
  </si>
  <si>
    <t>C PN-S-E-6mm</t>
  </si>
  <si>
    <t>C PN-S-E-9mm</t>
  </si>
  <si>
    <t>C PN-S-E-13mm</t>
  </si>
  <si>
    <t>C QRC-S-E-1/4"m</t>
  </si>
  <si>
    <t>TOOL SPANNER D80 PM</t>
  </si>
  <si>
    <t>C QRC-S-E-3/8"m</t>
  </si>
  <si>
    <t>C QRC-S-E-1/2"m</t>
  </si>
  <si>
    <t>PIPE STRAIGHT D80 GREEN</t>
  </si>
  <si>
    <t>C QRC-S-E-1/4"f</t>
  </si>
  <si>
    <t>PIPE STRAIGHT D80 GREY</t>
  </si>
  <si>
    <t>C QRC-S-E-3/8"f</t>
  </si>
  <si>
    <t>C QRC-S-E-1/2"f</t>
  </si>
  <si>
    <t>C QRC-S-E-6mm</t>
  </si>
  <si>
    <t>C QRC-S-E-9mm</t>
  </si>
  <si>
    <t>C QRC-S-E-13mm</t>
  </si>
  <si>
    <t>C QRC-SF-E-1/4"m</t>
  </si>
  <si>
    <t>C QRC-SF-E-3/8"m</t>
  </si>
  <si>
    <t>C QRC-SF-E-1/2"m</t>
  </si>
  <si>
    <t>C QRC-SF-E-1/4"f</t>
  </si>
  <si>
    <t>C QRC-SF-E-3/8"f</t>
  </si>
  <si>
    <t>C QRC-SF-E-1/2"f</t>
  </si>
  <si>
    <t>C QRC-SF-E-6mm</t>
  </si>
  <si>
    <t>C QRC-SF-E-9mm</t>
  </si>
  <si>
    <t>C QRC-SF-E-13mm</t>
  </si>
  <si>
    <t>C QRC-E-1/4"m</t>
  </si>
  <si>
    <t>C QRC-E-3/8"m</t>
  </si>
  <si>
    <t>C QRC-E-1/2"m</t>
  </si>
  <si>
    <t>C QRC-E-1/4"f</t>
  </si>
  <si>
    <t>C QRC-E-3/8"f</t>
  </si>
  <si>
    <t>C QRC-E-1/2"f</t>
  </si>
  <si>
    <t>C QRC-E-6mm</t>
  </si>
  <si>
    <t>C QRC-E-9mm</t>
  </si>
  <si>
    <t>C QRC-E-13mm</t>
  </si>
  <si>
    <t>C 2QRC-E-1/4"f</t>
  </si>
  <si>
    <t>C 3QRC-E-1/4"f</t>
  </si>
  <si>
    <t>C PN-E-6mm</t>
  </si>
  <si>
    <t>C PN-E-9mm</t>
  </si>
  <si>
    <t>C PN-E-13mm</t>
  </si>
  <si>
    <t>C PN-E-1/4"m</t>
  </si>
  <si>
    <t>C PN-E-3/8"m</t>
  </si>
  <si>
    <t>C PN-E-1/2"m</t>
  </si>
  <si>
    <t>C PN-E-1/4"f</t>
  </si>
  <si>
    <t>PIPE STRAIGHT D158 GREEN</t>
  </si>
  <si>
    <t>C PN-E-3/8"f</t>
  </si>
  <si>
    <t>PIPE STRAIGHT D158 GREY</t>
  </si>
  <si>
    <t>C PN-E-1/2"f</t>
  </si>
  <si>
    <t>C HC-U-11-13mm</t>
  </si>
  <si>
    <t>C HC-U-13-15mm</t>
  </si>
  <si>
    <t>C HC-U-15-18mm</t>
  </si>
  <si>
    <t>C SC-U-10-16mm</t>
  </si>
  <si>
    <t>C SC-U-12-20mm</t>
  </si>
  <si>
    <t>C SC-U-16-25mm</t>
  </si>
  <si>
    <t>C SC-U-20-32mm</t>
  </si>
  <si>
    <t>C HN-U-1/4"m x 6mm</t>
  </si>
  <si>
    <t>C HN-U-1/4"m x 9mm</t>
  </si>
  <si>
    <t>C HN-U-3/8"m x 6mm</t>
  </si>
  <si>
    <t>C HN-U-3/8"m x 9mm</t>
  </si>
  <si>
    <t>C HN-U-3/8"m x 13mm</t>
  </si>
  <si>
    <t>C HN-U-1/2"m x 6mm</t>
  </si>
  <si>
    <t>C HN-U-1/2"m x 9mm</t>
  </si>
  <si>
    <t>C HN-U-1/2"m x 13mm</t>
  </si>
  <si>
    <t>C HN-U-1/4"f x 6mm</t>
  </si>
  <si>
    <t>C HN-U-1/4"f x 9mm</t>
  </si>
  <si>
    <t>C HN-U-3/8"f x 6mm</t>
  </si>
  <si>
    <t>C HN-U-3/8"f x 9mm</t>
  </si>
  <si>
    <t>C HN-U-1/2"f x 9mm</t>
  </si>
  <si>
    <t>C HN-U-1/2"f x 13mm</t>
  </si>
  <si>
    <t>C HOC-U-6mm</t>
  </si>
  <si>
    <t>C HOC-U-9mm</t>
  </si>
  <si>
    <t>C DN-U-1/4"m x 1/8"m</t>
  </si>
  <si>
    <t>PIPE 304L D15</t>
  </si>
  <si>
    <t>C DN-U-1/4"m x 1/4"m</t>
  </si>
  <si>
    <t>PIPE 316L D15</t>
  </si>
  <si>
    <t>C DN-U-3/8"m x 1/4"m</t>
  </si>
  <si>
    <t>C DN-U-3/8"m x 3/8"m</t>
  </si>
  <si>
    <t>C DN-U-1/2"m x 3/8"m</t>
  </si>
  <si>
    <t>C DN-U-1/2"m x 1/2"m</t>
  </si>
  <si>
    <t>C RE-U-1/4"m x 1/8"f</t>
  </si>
  <si>
    <t>C RE-U-3/8"m x 1/4"f</t>
  </si>
  <si>
    <t>C RE-U-1/2"m x 3/8"f</t>
  </si>
  <si>
    <t>C RN-U-1/4"m x 3/8"f</t>
  </si>
  <si>
    <t>C RN-U-3/8"m x 1/2"f</t>
  </si>
  <si>
    <t>C MU-1/4"f</t>
  </si>
  <si>
    <t>C MU-3/8"f</t>
  </si>
  <si>
    <t>C MU-1/2"f</t>
  </si>
  <si>
    <t>C QRC-U-1/4"m</t>
  </si>
  <si>
    <t>C QRC-U-3/8"m</t>
  </si>
  <si>
    <t>C QRC-U-1/2"m</t>
  </si>
  <si>
    <t>C QRC-U-1/4"f</t>
  </si>
  <si>
    <t>C QRC-U-3/8"f</t>
  </si>
  <si>
    <t>C QRC-U-1/2"f</t>
  </si>
  <si>
    <t>C QRC-U-6mm</t>
  </si>
  <si>
    <t>C QRC-U-9mm</t>
  </si>
  <si>
    <t>C QRC-U-13mm</t>
  </si>
  <si>
    <t>FRL PR-1/4"f</t>
  </si>
  <si>
    <t>PIPE 304L D28</t>
  </si>
  <si>
    <t>FRL PR-3/8"f</t>
  </si>
  <si>
    <t>FRL PR-1/2"f</t>
  </si>
  <si>
    <t>FRL PR-3/4"f</t>
  </si>
  <si>
    <t>FRL PR-3/4"f NPT</t>
  </si>
  <si>
    <t>FRL PR-1"f</t>
  </si>
  <si>
    <t>FRL PR-1"f NPT</t>
  </si>
  <si>
    <t>FRL WS-1/4"f</t>
  </si>
  <si>
    <t>FRL WS-3/8"f</t>
  </si>
  <si>
    <t>FRL WS-1/2"f</t>
  </si>
  <si>
    <t>FRL WS-3/4"f</t>
  </si>
  <si>
    <t>FRL WS-3/4"f NPT</t>
  </si>
  <si>
    <t>FRL WS-1"f</t>
  </si>
  <si>
    <t>FRL WS-1"f NPT</t>
  </si>
  <si>
    <t>FRL FPR-1/4"f</t>
  </si>
  <si>
    <t>FRL FPR-3/8"f</t>
  </si>
  <si>
    <t>FRL FPR-1/2"f</t>
  </si>
  <si>
    <t>FRL FPR-3/4"f</t>
  </si>
  <si>
    <t>FRL FPR-3/4"f NPT</t>
  </si>
  <si>
    <t>FRL FPR-1"f</t>
  </si>
  <si>
    <t>FRL FPR-1"f NPT</t>
  </si>
  <si>
    <t>FRL MO-1/4"f</t>
  </si>
  <si>
    <t>FRL MO-3/8"f</t>
  </si>
  <si>
    <t>PIPE 304L D35</t>
  </si>
  <si>
    <t>FRL MO-1/2"f</t>
  </si>
  <si>
    <t>FRL MO-3/4"f</t>
  </si>
  <si>
    <t>FRL MO-1"f</t>
  </si>
  <si>
    <t>FRL FPR-MO-1/4"f</t>
  </si>
  <si>
    <t>FRL FPR-MO-3/8"f</t>
  </si>
  <si>
    <t>FRL FPR-MO-1/2"f</t>
  </si>
  <si>
    <t>FRL FPR-MO-3/4"f</t>
  </si>
  <si>
    <t>FRL FPR-MO-3/4"f NPT</t>
  </si>
  <si>
    <t>FRL FPR-MO-1"f</t>
  </si>
  <si>
    <t>FRL FPR-MO-1"f NPT</t>
  </si>
  <si>
    <t>FRL PR-1/4"f NPT</t>
  </si>
  <si>
    <t>FRL PR-3/8"f NPT</t>
  </si>
  <si>
    <t>FRL PR-1/2"f NPT</t>
  </si>
  <si>
    <t>FRL WS-1/4"f NPT</t>
  </si>
  <si>
    <t>FRL WS-3/8"f NPT</t>
  </si>
  <si>
    <t>FRL WS-1/2"f NPT</t>
  </si>
  <si>
    <t>FRL FPR-1/4"f NPT</t>
  </si>
  <si>
    <t>FRL FPR-3/8"f NPT</t>
  </si>
  <si>
    <t>FRL FPR-1/2"f NPT</t>
  </si>
  <si>
    <t>FRL MO-1/4"f NPT</t>
  </si>
  <si>
    <t>FRL MO-3/8"f NPT</t>
  </si>
  <si>
    <t>FRL MO-1/2"f NPT</t>
  </si>
  <si>
    <t>FRL MO-3/4"f NPT</t>
  </si>
  <si>
    <t>FRL MO-1"f NPT</t>
  </si>
  <si>
    <t>FRL FPR-MO-1/4"f NPT</t>
  </si>
  <si>
    <t>FRL FPR-MO-3/8"f NPT</t>
  </si>
  <si>
    <t>FRL FPR-MO-1/2"f NPT</t>
  </si>
  <si>
    <t>H PVC-QRC-E-15bar 11-6/5m</t>
  </si>
  <si>
    <t>H PVC-QRC-E-15bar 11-6/10m</t>
  </si>
  <si>
    <t>H PVC-QRC-E-15bar 15-9/5m</t>
  </si>
  <si>
    <t>H PVC-QRC-E-15bar 15-9/10m</t>
  </si>
  <si>
    <t>H PVC-QRC-E-15bar 18-13/10m</t>
  </si>
  <si>
    <t>H PVC-QRC-U-15bar 11-6/5m</t>
  </si>
  <si>
    <t>H PVC-QRC-U-15bar 11-6/10m</t>
  </si>
  <si>
    <t>H PVC-QRC-U-15bar 15-9/5m</t>
  </si>
  <si>
    <t>H PVC-QRC-U-15bar 15-9/10m</t>
  </si>
  <si>
    <t>H PVC-QRC-U-15bar 18-13/10m</t>
  </si>
  <si>
    <t>H PVC-QRC-E-OR-15bar 15-9/10m</t>
  </si>
  <si>
    <t>H PVC-QRC-E-SF-15bar 11-6/5m</t>
  </si>
  <si>
    <t>H PVC-QRC-E-SF-15bar 11-6/10m</t>
  </si>
  <si>
    <t>H PVC-QRC-E-SF-15bar 15-10/5m</t>
  </si>
  <si>
    <t>H PVC-QRC-E-SF-15bar 15-10/10m</t>
  </si>
  <si>
    <t>H PVC-15bar 11-6/25m</t>
  </si>
  <si>
    <t>H PVC-15bar 11-6/50m</t>
  </si>
  <si>
    <t>H PVC-15bar 15-9/25m</t>
  </si>
  <si>
    <t>H PVC-15bar 15-9/50m</t>
  </si>
  <si>
    <t>H PVC-15bar 18-13/25m</t>
  </si>
  <si>
    <t>H PVC-15bar 18-13/50m</t>
  </si>
  <si>
    <t>H PVC-OR-15bar 15-9/25m</t>
  </si>
  <si>
    <t>H PVC-SF-15bar 11-6/25m</t>
  </si>
  <si>
    <t>H PVC-SF-15bar 11-6/50m</t>
  </si>
  <si>
    <t>H PVC-SF-15bar 15-10/25m</t>
  </si>
  <si>
    <t>H PVC-SF-15bar 15-10/50m</t>
  </si>
  <si>
    <t>H PVC-SF-15bar 19-13/25m</t>
  </si>
  <si>
    <t>H PVC-SF-15bar 19-13/50m</t>
  </si>
  <si>
    <t>H PVC-SF-15bar 27-19/25m</t>
  </si>
  <si>
    <t>H PVC-SF-15bar 27-19/50m</t>
  </si>
  <si>
    <t>H PVC-SF-40bar 16-9/50m</t>
  </si>
  <si>
    <t>H PVC-SF-40bar 21-13/50m</t>
  </si>
  <si>
    <t>SH PA-QRC-E-8bar 8-6/5m</t>
  </si>
  <si>
    <t>SH PA-QRC-E-8bar 8-6/7,5m</t>
  </si>
  <si>
    <t>SH PA-QRC-E-8bar 8-6/15m</t>
  </si>
  <si>
    <t>SH PA-QRC-E-8bar 10-8/10m</t>
  </si>
  <si>
    <t>SH PA-QRC-U-8bar 8-6/5m</t>
  </si>
  <si>
    <t>SH PA-QRC-U-8bar 8-6/10m</t>
  </si>
  <si>
    <t>SH PA-QRC-U-8bar 8-6/15m</t>
  </si>
  <si>
    <t>SH PA-BJ-8bar 8-6/5m</t>
  </si>
  <si>
    <t>SH PA-BJ-8bar 8-6/10m</t>
  </si>
  <si>
    <t>SH PA-BJ-8bar 8-6/15m</t>
  </si>
  <si>
    <t>SH PUR-QRC-E-8bar 10-6,5/6m</t>
  </si>
  <si>
    <t>SH PUR-QRC-E-8bar 10-6,5/7,5m</t>
  </si>
  <si>
    <t>SH PUR-QRC-E-8bar 12-8/6m</t>
  </si>
  <si>
    <t>SH PUR-QRC-E-8bar 12-8/7,5m</t>
  </si>
  <si>
    <t>SH PUR-Rp3/8-8bar 10-6,5/7,5m</t>
  </si>
  <si>
    <t>SH PUR-8bar 12-8/7,5m</t>
  </si>
  <si>
    <t>Spiral Hose PUR-8bar 16-10/5m</t>
  </si>
  <si>
    <t>Spiral Hose PUR-8bar 16-10/10m</t>
  </si>
  <si>
    <t>HR PVC-QRC-U-M-15bar 15-9/20m</t>
  </si>
  <si>
    <t>HR PVC-QRC-U-M-15bar 14-10/20m</t>
  </si>
  <si>
    <t>HR PVC-QRC-U-A-15bar 12-8/9m</t>
  </si>
  <si>
    <t>HR PVC-QRC-U-A-15bar 12-8/15m</t>
  </si>
  <si>
    <t>HR PVC-QRC-U-A-15bar 12-8/10m</t>
  </si>
  <si>
    <t>HR PVC-QRC-U-A-15bar 14-10/15m</t>
  </si>
  <si>
    <t>HR PVC-QRC-U-A-15bar 18-13/15m</t>
  </si>
  <si>
    <t>HR B 18-13/15</t>
  </si>
  <si>
    <t>EQ SST-0,4-1,0kg</t>
  </si>
  <si>
    <t>EQ SST-1,0-2,0kg</t>
  </si>
  <si>
    <t>EQ SST-2,0-3,0kg</t>
  </si>
  <si>
    <t>EQ SST-2,0-4,0kg</t>
  </si>
  <si>
    <t>EQ SST-4,0-6,0kg</t>
  </si>
  <si>
    <t>EQ SST-6,0-8,0kg</t>
  </si>
  <si>
    <t>EQ SST-PUR-8bar-6-4/1,4m-0,8kg</t>
  </si>
  <si>
    <t>EQ SST-PUR-8bar-6-4/1,4m-1,5kg</t>
  </si>
  <si>
    <t>EQ SST-PUR-8bar-6-4/1,4m-2,5kg</t>
  </si>
  <si>
    <t>EQ EB-PVC-2QRC-SF-15bar-6*230V</t>
  </si>
  <si>
    <t>EQ EB-PVC-2QRC-SF-15bar-6*230V-1*400V</t>
  </si>
  <si>
    <t>EQ EB-PVC-QRC-SF-12bar-3*230V</t>
  </si>
  <si>
    <t>STAINLESS STEEL AIRnet</t>
  </si>
  <si>
    <t>Hanger bolt for pipe clamps</t>
  </si>
  <si>
    <t>2 spare blades shear</t>
  </si>
  <si>
    <t>Pipe Cutter D32spare cutting wheel</t>
  </si>
  <si>
    <t>SEAL FKM D28 70 SHORE A</t>
  </si>
  <si>
    <t>ASSEMBLY FLANGE 316L D89 ANSI COMP</t>
  </si>
  <si>
    <t>PIPE 304L D108 x1 Single Stick 18.7'</t>
  </si>
  <si>
    <t>PF Series - Metal</t>
  </si>
  <si>
    <t>Used to debur quick drop holes &amp; Large Pipe</t>
  </si>
  <si>
    <t>Vacuum (gray pipe)</t>
  </si>
  <si>
    <t>Additonal Sizes available - Special order</t>
  </si>
  <si>
    <t>Available by Special Order</t>
  </si>
  <si>
    <t>40 /1 1/2"</t>
  </si>
  <si>
    <t>2" NPT</t>
  </si>
  <si>
    <t>See "Quick Drop" Fittings when creating drops</t>
  </si>
  <si>
    <r>
      <t>PM to PF Reduction Pipe Adapters</t>
    </r>
    <r>
      <rPr>
        <b/>
        <sz val="9"/>
        <color theme="4"/>
        <rFont val="Calibri"/>
        <family val="2"/>
        <scheme val="minor"/>
      </rPr>
      <t xml:space="preserve">
</t>
    </r>
    <r>
      <rPr>
        <b/>
        <sz val="11"/>
        <color theme="4"/>
        <rFont val="Calibri"/>
        <family val="2"/>
        <scheme val="minor"/>
      </rPr>
      <t>(Reduce 2 sizes with 1 step).</t>
    </r>
  </si>
  <si>
    <r>
      <t>●</t>
    </r>
    <r>
      <rPr>
        <b/>
        <sz val="14"/>
        <color rgb="FF1F497D"/>
        <rFont val="Arial Black"/>
        <family val="2"/>
      </rPr>
      <t>PM Series - Pre Marked   2 1/2" &amp; 3"  diameter</t>
    </r>
  </si>
  <si>
    <r>
      <t>●</t>
    </r>
    <r>
      <rPr>
        <b/>
        <sz val="14"/>
        <color rgb="FF1F497D"/>
        <rFont val="Arial Black"/>
        <family val="2"/>
      </rPr>
      <t>LARGE Series                  4" &amp; 6"     diameter</t>
    </r>
  </si>
  <si>
    <t xml:space="preserve">Hex Head Sockets </t>
  </si>
  <si>
    <r>
      <t>Push to connect (</t>
    </r>
    <r>
      <rPr>
        <b/>
        <sz val="11"/>
        <color theme="1"/>
        <rFont val="Calibri"/>
        <family val="2"/>
        <scheme val="minor"/>
      </rPr>
      <t>only use when disassembling</t>
    </r>
    <r>
      <rPr>
        <sz val="11"/>
        <color theme="1"/>
        <rFont val="Calibri"/>
        <family val="2"/>
        <scheme val="minor"/>
      </rPr>
      <t>)</t>
    </r>
  </si>
  <si>
    <t>Use on Nut of Fitting (PM Series)</t>
  </si>
  <si>
    <t>Use on Body of Fitting (PM Series)</t>
  </si>
  <si>
    <t>PM &amp; Large Series</t>
  </si>
  <si>
    <t>80 / 3"
63mm / 2.5" - Adapter Union</t>
  </si>
  <si>
    <r>
      <t xml:space="preserve">Use on Body of 3" Fitting (PM Series) 
</t>
    </r>
    <r>
      <rPr>
        <b/>
        <sz val="11"/>
        <color theme="1"/>
        <rFont val="Calibri"/>
        <family val="2"/>
        <scheme val="minor"/>
      </rPr>
      <t>&amp; 2 1/2" NPT Union Adapter Fitting.</t>
    </r>
  </si>
  <si>
    <r>
      <t>Adapter Bolts</t>
    </r>
    <r>
      <rPr>
        <b/>
        <sz val="9"/>
        <color theme="4"/>
        <rFont val="Calibri"/>
        <family val="2"/>
        <scheme val="minor"/>
      </rPr>
      <t xml:space="preserve"> (to adapt 3/4"- 3" pipe clips to 3/8" all thread)</t>
    </r>
  </si>
  <si>
    <t>Please consult assembly guide for details.</t>
  </si>
  <si>
    <t xml:space="preserve">The assembly methods of each of the 3 series is the fastest in the Inudustry.  </t>
  </si>
  <si>
    <r>
      <t>●</t>
    </r>
    <r>
      <rPr>
        <b/>
        <sz val="14"/>
        <color theme="3"/>
        <rFont val="Arial Black"/>
        <family val="2"/>
      </rPr>
      <t xml:space="preserve">PF Series - Push to Fit     </t>
    </r>
    <r>
      <rPr>
        <b/>
        <sz val="14"/>
        <color theme="9"/>
        <rFont val="Arial Black"/>
        <family val="2"/>
      </rPr>
      <t>3/4" - 2"  diameter</t>
    </r>
  </si>
  <si>
    <r>
      <t>●</t>
    </r>
    <r>
      <rPr>
        <b/>
        <sz val="14"/>
        <color theme="3"/>
        <rFont val="Arial Black"/>
        <family val="2"/>
      </rPr>
      <t xml:space="preserve">PM Series - Pre Marked   </t>
    </r>
    <r>
      <rPr>
        <b/>
        <sz val="14"/>
        <color theme="9"/>
        <rFont val="Arial Black"/>
        <family val="2"/>
      </rPr>
      <t>2 1/2" &amp; 3"  diameter</t>
    </r>
  </si>
  <si>
    <r>
      <t>●</t>
    </r>
    <r>
      <rPr>
        <b/>
        <sz val="14"/>
        <color theme="3"/>
        <rFont val="Arial Black"/>
        <family val="2"/>
      </rPr>
      <t xml:space="preserve">LARGE Series                  </t>
    </r>
    <r>
      <rPr>
        <b/>
        <sz val="14"/>
        <color theme="9"/>
        <rFont val="Arial Black"/>
        <family val="2"/>
      </rPr>
      <t>4" &amp; 6"     diameter</t>
    </r>
  </si>
  <si>
    <t>No high priced, specialized tooling for any assembly method.</t>
  </si>
  <si>
    <t>Each Series offers fast and easy assembly methods</t>
  </si>
  <si>
    <t xml:space="preserve">Quick Connect        
Safety Couplers                 </t>
  </si>
  <si>
    <t>Female Connector - NPT  PF Series</t>
  </si>
  <si>
    <t>Male - NPT</t>
  </si>
  <si>
    <t>Adapters - NPT</t>
  </si>
  <si>
    <r>
      <rPr>
        <b/>
        <sz val="36"/>
        <color theme="2"/>
        <rFont val="Aharoni"/>
        <charset val="177"/>
      </rPr>
      <t xml:space="preserve">AIRnet </t>
    </r>
    <r>
      <rPr>
        <b/>
        <sz val="36"/>
        <color theme="2"/>
        <rFont val="+mn-ea"/>
      </rPr>
      <t xml:space="preserve">
     </t>
    </r>
    <r>
      <rPr>
        <b/>
        <sz val="20"/>
        <color theme="2"/>
        <rFont val="+mn-ea"/>
      </rPr>
      <t>3 Series - One Great Product Offering!</t>
    </r>
  </si>
  <si>
    <t>Female Threaded Nipples - NPT</t>
  </si>
  <si>
    <t>Equal Union - PF Series</t>
  </si>
  <si>
    <r>
      <t>90</t>
    </r>
    <r>
      <rPr>
        <b/>
        <sz val="11"/>
        <color theme="4"/>
        <rFont val="Calibri"/>
        <family val="2"/>
      </rPr>
      <t>° Elbows - PF Series</t>
    </r>
  </si>
  <si>
    <r>
      <t>45</t>
    </r>
    <r>
      <rPr>
        <b/>
        <sz val="11"/>
        <color theme="4"/>
        <rFont val="Calibri"/>
        <family val="2"/>
      </rPr>
      <t>° Elbow - PF Series</t>
    </r>
  </si>
  <si>
    <t>Equal Tee - PF Series</t>
  </si>
  <si>
    <t>End Cap - PF Series</t>
  </si>
  <si>
    <t>45° Elbow - PM &amp; Large Series</t>
  </si>
  <si>
    <t>Equal Union - PM &amp; Large Series</t>
  </si>
  <si>
    <r>
      <t>90</t>
    </r>
    <r>
      <rPr>
        <b/>
        <sz val="11"/>
        <color theme="4"/>
        <rFont val="Calibri"/>
        <family val="2"/>
      </rPr>
      <t>° Elbows - PM &amp; Large Series</t>
    </r>
  </si>
  <si>
    <t>Equal  Tee - PM &amp; Large Series</t>
  </si>
  <si>
    <t>End Cap - PM &amp; Large Series</t>
  </si>
  <si>
    <t>Reducing Union PM &amp; Large  Series</t>
  </si>
  <si>
    <t>Reducing Tee PM &amp; Large Series</t>
  </si>
  <si>
    <t>Threaded Reducing Tee (FNPT)      PM &amp; Large Series</t>
  </si>
  <si>
    <t>Quick Drops - PM &amp; Large Series</t>
  </si>
  <si>
    <t>Female Connector - NPT  PM Series</t>
  </si>
  <si>
    <t>Plugs for unused ports</t>
  </si>
  <si>
    <t>Package quantity-2</t>
  </si>
  <si>
    <t>1/2" Female x 1/2" Female</t>
  </si>
  <si>
    <t>3/4" Female x 3/4" Female</t>
  </si>
  <si>
    <t>1" Female x 1" Female</t>
  </si>
  <si>
    <t>1 1/4" Female x 1 1/4" Female</t>
  </si>
  <si>
    <t>1 1/2" Female x 1 1/2" Female</t>
  </si>
  <si>
    <t>2" Female x 2" Female</t>
  </si>
  <si>
    <t>Hoses</t>
  </si>
  <si>
    <r>
      <t>Adapter Kit - NPT - (</t>
    </r>
    <r>
      <rPr>
        <b/>
        <sz val="9"/>
        <color theme="4"/>
        <rFont val="Calibri"/>
        <family val="2"/>
        <scheme val="minor"/>
      </rPr>
      <t>replace any PF/PM Series nut to create an NPT fitting)</t>
    </r>
  </si>
  <si>
    <t xml:space="preserve">3" NPT Adapter Kit </t>
  </si>
  <si>
    <t>EDITS</t>
  </si>
  <si>
    <t>PIPE LIST PRICE ADJUSTMENTS</t>
  </si>
  <si>
    <t>SS Tools ADJUSTMENT ^5% Only</t>
  </si>
  <si>
    <t>EDITED Calculation Formulas</t>
  </si>
  <si>
    <t>AIRnet PRICE CHANGES - GLOBAL</t>
  </si>
  <si>
    <t>Multiply by .75</t>
  </si>
  <si>
    <t>Round Column "M"</t>
  </si>
  <si>
    <t>Paste Column M as 2 digit number</t>
  </si>
  <si>
    <r>
      <t xml:space="preserve">AAP Pricing pasted from Column "L" - </t>
    </r>
    <r>
      <rPr>
        <b/>
        <sz val="11"/>
        <color theme="3"/>
        <rFont val="Calibri"/>
        <family val="2"/>
        <scheme val="minor"/>
      </rPr>
      <t>***Actual price shown in this Quoter***</t>
    </r>
  </si>
  <si>
    <t>Insert Atlas Copco's Price Increase Here</t>
  </si>
  <si>
    <t>Multiply by 1.1</t>
  </si>
  <si>
    <t>20-158 mm Marker</t>
  </si>
  <si>
    <t>***READ THIS BEFORE UPDATING PRICING***</t>
  </si>
  <si>
    <t>***BLUE COLUMNS NOT FROM ATLAS COPSO'S QUOTER***</t>
  </si>
  <si>
    <t>Reduction Pipe adapters</t>
  </si>
  <si>
    <t>Exceptions - Tools (+10%) B291-B320 / Gaskets no Vlookup B14-B23 / Reducing Pipe adapters no in price list B5-B7 / Tools B9-B13</t>
  </si>
  <si>
    <t>List Price</t>
  </si>
  <si>
    <t>Your Price</t>
  </si>
  <si>
    <t>20-25</t>
  </si>
  <si>
    <t>40-50</t>
  </si>
  <si>
    <t>63-80</t>
  </si>
  <si>
    <t>DECAL - PRESSURE</t>
  </si>
  <si>
    <t>DECAL - VACUUM</t>
  </si>
  <si>
    <t>PIPE END ADAPTER PF</t>
  </si>
  <si>
    <t>PIPE END ADAPTER D80-D40</t>
  </si>
  <si>
    <t>TOOL SPANNER D80 - D63 ADPTR UNION</t>
  </si>
  <si>
    <t>***A must for any installation***</t>
  </si>
  <si>
    <t>PF Series 1 1/2" - 3"</t>
  </si>
  <si>
    <t>Hex Drive Socket - 8mm</t>
  </si>
  <si>
    <t>Hex Drive Socket - 10mm</t>
  </si>
  <si>
    <t>Spanner Wrenches</t>
  </si>
  <si>
    <t>Hes Head Socket</t>
  </si>
  <si>
    <t>Pipe Deburrer - Pen Style</t>
  </si>
  <si>
    <t>Flange - 150 class</t>
  </si>
  <si>
    <t>Optional / Alternative</t>
  </si>
  <si>
    <t>(Valve Only) - requires flange &amp; bolt sets</t>
  </si>
  <si>
    <t>All Thread / Threaded Rod</t>
  </si>
  <si>
    <t>LIST PRICES_2023</t>
  </si>
  <si>
    <t>0462101105</t>
  </si>
  <si>
    <t>0462360123</t>
  </si>
  <si>
    <t>0462709421</t>
  </si>
  <si>
    <t>Flat Gasket        100mm</t>
  </si>
  <si>
    <t>0650010009</t>
  </si>
  <si>
    <t>Flat Gasket        63mm</t>
  </si>
  <si>
    <t>0650010043</t>
  </si>
  <si>
    <t>0650010106</t>
  </si>
  <si>
    <t>0650100087</t>
  </si>
  <si>
    <t>0650100112</t>
  </si>
  <si>
    <t>0650100119</t>
  </si>
  <si>
    <t>0650100125</t>
  </si>
  <si>
    <t>Flat Gasket        158mm</t>
  </si>
  <si>
    <t>Flat Gasket        80mm</t>
  </si>
  <si>
    <t>0657578500</t>
  </si>
  <si>
    <t>List Price Atlas Copco</t>
  </si>
  <si>
    <t>0650 0100 16</t>
  </si>
  <si>
    <t>0650 1001 27</t>
  </si>
  <si>
    <t>0650 0100 06</t>
  </si>
  <si>
    <t>0650 1001 25</t>
  </si>
  <si>
    <t>Tool Pricing</t>
  </si>
  <si>
    <t>0650 0100 09</t>
  </si>
  <si>
    <t>0650 0100 43</t>
  </si>
  <si>
    <t>0650 0101 06</t>
  </si>
  <si>
    <t>0650 1000 87</t>
  </si>
  <si>
    <t>0650 1001 12</t>
  </si>
  <si>
    <t>0650 1001 19</t>
  </si>
  <si>
    <t>NAME</t>
  </si>
  <si>
    <t>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</si>
</sst>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quot;$&quot;#,##0.00_);\(&quot;$&quot;#,##0.00\)"/>
    <numFmt numFmtId="42" formatCode="_(&quot;$&quot;* #,##0_);_(&quot;$&quot;* \(#,##0\);_(&quot;$&quot;* &quot;-&quot;_);_(@_)"/>
    <numFmt numFmtId="44" formatCode="_(&quot;$&quot;* #,##0.00_);_(&quot;$&quot;* \(#,##0.00\);_(&quot;$&quot;* &quot;-&quot;??_);_(@_)"/>
    <numFmt numFmtId="164" formatCode="_-* #,##0.00\ &quot;€&quot;_-;\-* #,##0.00\ &quot;€&quot;_-;_-* &quot;-&quot;??\ &quot;€&quot;_-;_-@_-"/>
    <numFmt numFmtId="165" formatCode="_([$$-409]* #,##0.00_);_([$$-409]* \(#,##0.00\);_([$$-409]* &quot;-&quot;??_);_(@_)"/>
    <numFmt numFmtId="166" formatCode="_-* #,##0.00\ _€_-;\-* #,##0.00\ _€_-;_-* &quot;-&quot;??\ _€_-;_-@_-"/>
    <numFmt numFmtId="167" formatCode="&quot;$&quot;#,##0.00"/>
    <numFmt numFmtId="168" formatCode="#,##0.00\ &quot;€&quot;"/>
    <numFmt numFmtId="169" formatCode="0###\ ####\ ##"/>
    <numFmt numFmtId="170" formatCode="_(&quot;$&quot;* #,##0.00_);_(&quot;$&quot;* \(#,##0.00\);_(&quot;$&quot;* &quot;-&quot;_);_(@_)"/>
    <numFmt numFmtId="171" formatCode="####\ ####\ ##"/>
    <numFmt numFmtId="172" formatCode="_-* #.0\ &quot;€&quot;_-;\-* #.0\ &quot;€&quot;_-;_-* &quot;-&quot;??\ &quot;€&quot;_-;_-@_-"/>
    <numFmt numFmtId="173" formatCode="0000000000"/>
    <numFmt numFmtId="174" formatCode="0000\ 0000\ 00"/>
  </numFmts>
  <fonts count="82">
    <font>
      <sz val="11"/>
      <color theme="1"/>
      <name val="Calibri"/>
      <family val="2"/>
      <scheme val="minor"/>
    </font>
    <font>
      <b/>
      <sz val="11"/>
      <color theme="1"/>
      <name val="Calibri"/>
      <family val="2"/>
      <scheme val="minor"/>
    </font>
    <font>
      <b/>
      <sz val="11"/>
      <color theme="1"/>
      <name val="Calibri"/>
      <family val="2"/>
    </font>
    <font>
      <sz val="11"/>
      <color theme="1"/>
      <name val="Calibri"/>
      <family val="2"/>
      <scheme val="minor"/>
    </font>
    <font>
      <sz val="11"/>
      <color theme="0"/>
      <name val="Calibri"/>
      <family val="2"/>
      <scheme val="minor"/>
    </font>
    <font>
      <b/>
      <sz val="14"/>
      <color theme="0"/>
      <name val="Calibri"/>
      <family val="2"/>
      <scheme val="minor"/>
    </font>
    <font>
      <sz val="14"/>
      <color theme="0"/>
      <name val="Calibri"/>
      <family val="2"/>
      <scheme val="minor"/>
    </font>
    <font>
      <b/>
      <sz val="11"/>
      <color theme="4"/>
      <name val="Calibri"/>
      <family val="2"/>
      <scheme val="minor"/>
    </font>
    <font>
      <b/>
      <sz val="11"/>
      <color theme="4"/>
      <name val="Calibri"/>
      <family val="2"/>
    </font>
    <font>
      <sz val="10"/>
      <name val="Arial"/>
      <family val="2"/>
    </font>
    <font>
      <sz val="9"/>
      <name val="Arial"/>
      <family val="2"/>
    </font>
    <font>
      <sz val="11"/>
      <color theme="4"/>
      <name val="Calibri"/>
      <family val="2"/>
      <scheme val="minor"/>
    </font>
    <font>
      <sz val="11"/>
      <color theme="4" tint="-0.249977111117893"/>
      <name val="Calibri"/>
      <family val="2"/>
      <scheme val="minor"/>
    </font>
    <font>
      <b/>
      <sz val="9"/>
      <color theme="4"/>
      <name val="Calibri"/>
      <family val="2"/>
      <scheme val="minor"/>
    </font>
    <font>
      <sz val="10"/>
      <name val="Arial"/>
      <family val="2"/>
    </font>
    <font>
      <b/>
      <sz val="14"/>
      <color theme="1"/>
      <name val="Arial Black"/>
      <family val="2"/>
    </font>
    <font>
      <b/>
      <sz val="12"/>
      <color theme="1"/>
      <name val="Arial Black"/>
      <family val="2"/>
    </font>
    <font>
      <b/>
      <sz val="14"/>
      <color theme="4"/>
      <name val="Calibri"/>
      <family val="2"/>
      <scheme val="minor"/>
    </font>
    <font>
      <b/>
      <sz val="11"/>
      <color theme="0"/>
      <name val="Calibri"/>
      <family val="2"/>
      <scheme val="minor"/>
    </font>
    <font>
      <b/>
      <sz val="12"/>
      <color theme="4"/>
      <name val="Calibri"/>
      <family val="2"/>
      <scheme val="minor"/>
    </font>
    <font>
      <b/>
      <sz val="20"/>
      <color theme="9" tint="-0.249977111117893"/>
      <name val="Arial Black"/>
      <family val="2"/>
    </font>
    <font>
      <b/>
      <sz val="12"/>
      <color theme="0"/>
      <name val="Calibri"/>
      <family val="2"/>
      <scheme val="minor"/>
    </font>
    <font>
      <b/>
      <sz val="18"/>
      <color theme="0"/>
      <name val="Calibri"/>
      <family val="2"/>
      <scheme val="minor"/>
    </font>
    <font>
      <b/>
      <sz val="12"/>
      <color theme="0"/>
      <name val="Arial Black"/>
      <family val="2"/>
    </font>
    <font>
      <b/>
      <sz val="20"/>
      <color theme="4"/>
      <name val="Calibri"/>
      <family val="2"/>
      <scheme val="minor"/>
    </font>
    <font>
      <b/>
      <sz val="11"/>
      <color theme="3"/>
      <name val="Calibri"/>
      <family val="2"/>
      <scheme val="minor"/>
    </font>
    <font>
      <sz val="10"/>
      <name val="Arial"/>
      <family val="2"/>
    </font>
    <font>
      <sz val="11"/>
      <color theme="3"/>
      <name val="Calibri"/>
      <family val="2"/>
      <scheme val="minor"/>
    </font>
    <font>
      <sz val="11"/>
      <name val="Calibri"/>
      <family val="2"/>
      <scheme val="minor"/>
    </font>
    <font>
      <b/>
      <sz val="14"/>
      <color rgb="FF1F497D"/>
      <name val="Calibri"/>
      <family val="2"/>
      <scheme val="minor"/>
    </font>
    <font>
      <b/>
      <sz val="16"/>
      <color rgb="FF1F497D"/>
      <name val="Calibri"/>
      <family val="2"/>
      <scheme val="minor"/>
    </font>
    <font>
      <b/>
      <sz val="10.5"/>
      <color theme="4"/>
      <name val="Calibri"/>
      <family val="2"/>
      <scheme val="minor"/>
    </font>
    <font>
      <b/>
      <sz val="12"/>
      <color theme="0"/>
      <name val="Calibri"/>
      <family val="2"/>
    </font>
    <font>
      <sz val="14"/>
      <color theme="4"/>
      <name val="Calibri"/>
      <family val="2"/>
    </font>
    <font>
      <sz val="9.9"/>
      <color theme="4"/>
      <name val="Calibri"/>
      <family val="2"/>
    </font>
    <font>
      <sz val="11"/>
      <color theme="1"/>
      <name val="Calibri"/>
      <family val="2"/>
    </font>
    <font>
      <sz val="11"/>
      <color theme="1"/>
      <name val="Calibri"/>
      <family val="2"/>
      <scheme val="minor"/>
    </font>
    <font>
      <b/>
      <sz val="15.5"/>
      <color theme="0"/>
      <name val="Calibri"/>
      <family val="2"/>
      <scheme val="minor"/>
    </font>
    <font>
      <sz val="11"/>
      <color rgb="FF9C0006"/>
      <name val="Calibri"/>
      <family val="2"/>
      <scheme val="minor"/>
    </font>
    <font>
      <sz val="10"/>
      <color rgb="FFFF0000"/>
      <name val="Arial"/>
      <family val="2"/>
    </font>
    <font>
      <b/>
      <sz val="10"/>
      <name val="Arial"/>
      <family val="2"/>
    </font>
    <font>
      <b/>
      <sz val="9"/>
      <color indexed="81"/>
      <name val="Tahoma"/>
      <family val="2"/>
    </font>
    <font>
      <sz val="11"/>
      <color theme="1"/>
      <name val="Calibri"/>
      <family val="2"/>
      <scheme val="minor"/>
    </font>
    <font>
      <sz val="8"/>
      <name val="Calibri"/>
      <family val="2"/>
      <scheme val="minor"/>
    </font>
    <font>
      <b/>
      <sz val="14"/>
      <color theme="4"/>
      <name val="Calibri"/>
      <family val="2"/>
    </font>
    <font>
      <sz val="12"/>
      <color theme="4"/>
      <name val="Calibri"/>
      <family val="2"/>
      <scheme val="minor"/>
    </font>
    <font>
      <b/>
      <sz val="22"/>
      <color theme="8"/>
      <name val="Calibri"/>
      <family val="2"/>
      <scheme val="minor"/>
    </font>
    <font>
      <b/>
      <sz val="22"/>
      <color theme="9" tint="-0.249977111117893"/>
      <name val="Calibri"/>
      <family val="2"/>
      <scheme val="minor"/>
    </font>
    <font>
      <b/>
      <sz val="14"/>
      <color rgb="FF1F497D"/>
      <name val="+mn-ea"/>
    </font>
    <font>
      <b/>
      <sz val="14"/>
      <color rgb="FF1F497D"/>
      <name val="Arial Black"/>
      <family val="2"/>
    </font>
    <font>
      <sz val="8"/>
      <name val="Arial"/>
      <family val="2"/>
    </font>
    <font>
      <sz val="11"/>
      <color rgb="FF000000"/>
      <name val="Calibri"/>
      <family val="2"/>
      <scheme val="minor"/>
    </font>
    <font>
      <sz val="11"/>
      <color rgb="FF9C5700"/>
      <name val="Calibri"/>
      <family val="2"/>
      <scheme val="minor"/>
    </font>
    <font>
      <b/>
      <sz val="8"/>
      <color indexed="9"/>
      <name val="Arial"/>
      <family val="2"/>
    </font>
    <font>
      <b/>
      <sz val="8"/>
      <name val="Arial"/>
      <family val="2"/>
    </font>
    <font>
      <b/>
      <sz val="12"/>
      <color indexed="45"/>
      <name val="Arial"/>
      <family val="2"/>
    </font>
    <font>
      <b/>
      <sz val="9"/>
      <name val="Arial"/>
      <family val="2"/>
    </font>
    <font>
      <b/>
      <sz val="11"/>
      <name val="Calibri"/>
      <family val="2"/>
      <scheme val="minor"/>
    </font>
    <font>
      <sz val="8"/>
      <color rgb="FFFF0000"/>
      <name val="Arial"/>
      <family val="2"/>
    </font>
    <font>
      <b/>
      <sz val="11"/>
      <color rgb="FFFF0000"/>
      <name val="Calibri"/>
      <family val="2"/>
      <scheme val="minor"/>
    </font>
    <font>
      <sz val="11"/>
      <color rgb="FF4F81BD"/>
      <name val="Calibri"/>
      <family val="2"/>
      <scheme val="minor"/>
    </font>
    <font>
      <b/>
      <sz val="20"/>
      <color rgb="FF1F497D"/>
      <name val="+mn-ea"/>
    </font>
    <font>
      <b/>
      <sz val="20"/>
      <color theme="2"/>
      <name val="+mn-ea"/>
    </font>
    <font>
      <b/>
      <sz val="14"/>
      <color theme="9"/>
      <name val="Arial Black"/>
      <family val="2"/>
    </font>
    <font>
      <b/>
      <sz val="14"/>
      <color theme="3"/>
      <name val="+mn-ea"/>
    </font>
    <font>
      <b/>
      <sz val="14"/>
      <color theme="3"/>
      <name val="Arial Black"/>
      <family val="2"/>
    </font>
    <font>
      <b/>
      <sz val="12"/>
      <color theme="0" tint="-0.499984740745262"/>
      <name val="+mn-ea"/>
    </font>
    <font>
      <b/>
      <sz val="14"/>
      <color rgb="FFFF0000"/>
      <name val="Calibri"/>
      <family val="2"/>
      <scheme val="minor"/>
    </font>
    <font>
      <b/>
      <sz val="36"/>
      <color theme="2"/>
      <name val="Aharoni"/>
      <charset val="177"/>
    </font>
    <font>
      <b/>
      <sz val="36"/>
      <color theme="2"/>
      <name val="+mn-ea"/>
    </font>
    <font>
      <sz val="11"/>
      <color theme="1"/>
      <name val="Calibri"/>
      <family val="2"/>
      <scheme val="minor"/>
    </font>
    <font>
      <sz val="10"/>
      <color theme="0"/>
      <name val="Arial"/>
      <family val="2"/>
    </font>
    <font>
      <b/>
      <sz val="8"/>
      <color rgb="FFFF0000"/>
      <name val="Arial"/>
      <family val="2"/>
    </font>
    <font>
      <sz val="11"/>
      <color theme="0" tint="-0.14999847407452621"/>
      <name val="Calibri"/>
      <family val="2"/>
      <scheme val="minor"/>
    </font>
    <font>
      <b/>
      <sz val="10"/>
      <color theme="0" tint="-0.14999847407452621"/>
      <name val="Arial"/>
      <family val="2"/>
    </font>
    <font>
      <sz val="10"/>
      <color theme="0" tint="-0.14999847407452621"/>
      <name val="Arial"/>
      <family val="2"/>
    </font>
    <font>
      <sz val="8"/>
      <color theme="0" tint="-0.14999847407452621"/>
      <name val="Arial"/>
      <family val="2"/>
    </font>
    <font>
      <sz val="11"/>
      <color rgb="FFFFFF00"/>
      <name val="Calibri"/>
      <family val="2"/>
      <scheme val="minor"/>
    </font>
    <font>
      <sz val="8"/>
      <color theme="0"/>
      <name val="Arial"/>
      <family val="2"/>
    </font>
    <font>
      <b/>
      <sz val="10"/>
      <color theme="0"/>
      <name val="Arial"/>
      <family val="2"/>
    </font>
    <font>
      <b/>
      <sz val="14"/>
      <color theme="0"/>
      <name val="Arial"/>
      <family val="2"/>
    </font>
    <font>
      <sz val="11"/>
      <color theme="1"/>
      <name val="Calibri"/>
      <family val="2"/>
      <scheme val="minor"/>
    </font>
  </fonts>
  <fills count="26">
    <fill>
      <patternFill patternType="none"/>
    </fill>
    <fill>
      <patternFill patternType="gray125"/>
    </fill>
    <fill>
      <patternFill patternType="solid">
        <fgColor theme="4"/>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5"/>
        <bgColor indexed="64"/>
      </patternFill>
    </fill>
    <fill>
      <patternFill patternType="solid">
        <fgColor theme="4" tint="0.59999389629810485"/>
        <bgColor indexed="65"/>
      </patternFill>
    </fill>
    <fill>
      <patternFill patternType="solid">
        <fgColor theme="3"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4" tint="0.59999389629810485"/>
        <bgColor indexed="64"/>
      </patternFill>
    </fill>
    <fill>
      <patternFill patternType="solid">
        <fgColor theme="2"/>
        <bgColor indexed="64"/>
      </patternFill>
    </fill>
    <fill>
      <patternFill patternType="solid">
        <fgColor rgb="FFFFC7CE"/>
      </patternFill>
    </fill>
    <fill>
      <patternFill patternType="solid">
        <fgColor theme="9"/>
        <bgColor indexed="64"/>
      </patternFill>
    </fill>
    <fill>
      <patternFill patternType="solid">
        <fgColor theme="3" tint="0.59999389629810485"/>
        <bgColor indexed="64"/>
      </patternFill>
    </fill>
    <fill>
      <patternFill patternType="solid">
        <fgColor theme="0" tint="-0.14999847407452621"/>
        <bgColor theme="4" tint="0.79998168889431442"/>
      </patternFill>
    </fill>
    <fill>
      <patternFill patternType="solid">
        <fgColor theme="5" tint="0.79998168889431442"/>
        <bgColor indexed="64"/>
      </patternFill>
    </fill>
    <fill>
      <patternFill patternType="solid">
        <fgColor rgb="FFFFEB9C"/>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3"/>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5" tint="0.59999389629810485"/>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style="thin">
        <color theme="0" tint="-0.249977111117893"/>
      </right>
      <top/>
      <bottom/>
      <diagonal/>
    </border>
    <border>
      <left/>
      <right/>
      <top/>
      <bottom style="thin">
        <color theme="0" tint="-0.14999847407452621"/>
      </bottom>
      <diagonal/>
    </border>
    <border>
      <left style="thin">
        <color theme="0" tint="-0.249977111117893"/>
      </left>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theme="0"/>
      </right>
      <top style="thin">
        <color theme="0"/>
      </top>
      <bottom style="thin">
        <color theme="4" tint="0.39997558519241921"/>
      </bottom>
      <diagonal/>
    </border>
    <border>
      <left style="thin">
        <color theme="0"/>
      </left>
      <right style="thin">
        <color theme="4" tint="0.39997558519241921"/>
      </right>
      <top style="thin">
        <color theme="0"/>
      </top>
      <bottom style="thin">
        <color theme="4" tint="0.39997558519241921"/>
      </bottom>
      <diagonal/>
    </border>
    <border>
      <left style="thin">
        <color theme="4" tint="0.39997558519241921"/>
      </left>
      <right style="thin">
        <color theme="4" tint="0.39997558519241921"/>
      </right>
      <top style="thin">
        <color theme="0"/>
      </top>
      <bottom style="thin">
        <color theme="4" tint="0.39997558519241921"/>
      </bottom>
      <diagonal/>
    </border>
    <border>
      <left style="thin">
        <color theme="4" tint="0.39997558519241921"/>
      </left>
      <right/>
      <top style="thin">
        <color theme="0"/>
      </top>
      <bottom style="thin">
        <color theme="4" tint="0.39997558519241921"/>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right style="medium">
        <color theme="4"/>
      </right>
      <top/>
      <bottom style="medium">
        <color theme="4"/>
      </bottom>
      <diagonal/>
    </border>
    <border>
      <left style="medium">
        <color theme="4"/>
      </left>
      <right style="medium">
        <color theme="4"/>
      </right>
      <top style="medium">
        <color theme="4"/>
      </top>
      <bottom/>
      <diagonal/>
    </border>
    <border>
      <left style="medium">
        <color theme="4"/>
      </left>
      <right style="medium">
        <color theme="4"/>
      </right>
      <top/>
      <bottom/>
      <diagonal/>
    </border>
    <border>
      <left style="medium">
        <color theme="4"/>
      </left>
      <right style="medium">
        <color theme="4"/>
      </right>
      <top/>
      <bottom style="medium">
        <color theme="4"/>
      </bottom>
      <diagonal/>
    </border>
    <border>
      <left/>
      <right/>
      <top/>
      <bottom style="thin">
        <color theme="0"/>
      </bottom>
      <diagonal/>
    </border>
    <border>
      <left style="thin">
        <color theme="0" tint="-0.14999847407452621"/>
      </left>
      <right/>
      <top style="thin">
        <color theme="0" tint="-0.14999847407452621"/>
      </top>
      <bottom style="thin">
        <color theme="0" tint="-0.14999847407452621"/>
      </bottom>
      <diagonal/>
    </border>
    <border>
      <left/>
      <right style="thin">
        <color theme="4"/>
      </right>
      <top/>
      <bottom style="thin">
        <color theme="4"/>
      </bottom>
      <diagonal/>
    </border>
    <border>
      <left/>
      <right style="thin">
        <color theme="4"/>
      </right>
      <top/>
      <bottom/>
      <diagonal/>
    </border>
    <border>
      <left style="thin">
        <color theme="4"/>
      </left>
      <right/>
      <top/>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0" tint="-0.14999847407452621"/>
      </right>
      <top/>
      <bottom style="thin">
        <color theme="5"/>
      </bottom>
      <diagonal/>
    </border>
    <border>
      <left/>
      <right style="thin">
        <color theme="0" tint="-0.14999847407452621"/>
      </right>
      <top/>
      <bottom/>
      <diagonal/>
    </border>
    <border>
      <left/>
      <right style="thin">
        <color theme="0" tint="-0.14999847407452621"/>
      </right>
      <top style="thin">
        <color theme="5"/>
      </top>
      <bottom/>
      <diagonal/>
    </border>
    <border>
      <left/>
      <right style="thin">
        <color theme="0" tint="-0.14999847407452621"/>
      </right>
      <top style="thin">
        <color theme="5"/>
      </top>
      <bottom style="thin">
        <color theme="5"/>
      </bottom>
      <diagonal/>
    </border>
    <border>
      <left/>
      <right/>
      <top style="thin">
        <color theme="5"/>
      </top>
      <bottom/>
      <diagonal/>
    </border>
    <border>
      <left/>
      <right/>
      <top/>
      <bottom style="medium">
        <color indexed="64"/>
      </bottom>
      <diagonal/>
    </border>
    <border>
      <left style="thin">
        <color indexed="47"/>
      </left>
      <right/>
      <top style="thin">
        <color indexed="47"/>
      </top>
      <bottom style="thin">
        <color indexed="47"/>
      </bottom>
      <diagonal/>
    </border>
    <border>
      <left style="thin">
        <color indexed="47"/>
      </left>
      <right style="thin">
        <color indexed="47"/>
      </right>
      <top style="thin">
        <color indexed="47"/>
      </top>
      <bottom style="thin">
        <color indexed="47"/>
      </bottom>
      <diagonal/>
    </border>
    <border>
      <left style="thin">
        <color indexed="47"/>
      </left>
      <right style="thin">
        <color indexed="47"/>
      </right>
      <top style="thin">
        <color indexed="47"/>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style="thin">
        <color theme="0" tint="-0.14999847407452621"/>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style="thin">
        <color theme="4" tint="0.79998168889431442"/>
      </right>
      <top/>
      <bottom style="thin">
        <color theme="4" tint="0.79998168889431442"/>
      </bottom>
      <diagonal/>
    </border>
    <border>
      <left/>
      <right/>
      <top/>
      <bottom style="thin">
        <color theme="4" tint="0.79998168889431442"/>
      </bottom>
      <diagonal/>
    </border>
    <border>
      <left style="thin">
        <color theme="4" tint="0.79998168889431442"/>
      </left>
      <right style="thin">
        <color theme="4" tint="0.79998168889431442"/>
      </right>
      <top style="thin">
        <color theme="0"/>
      </top>
      <bottom style="thin">
        <color theme="4" tint="0.79998168889431442"/>
      </bottom>
      <diagonal/>
    </border>
    <border>
      <left/>
      <right/>
      <top style="thin">
        <color theme="0"/>
      </top>
      <bottom/>
      <diagonal/>
    </border>
    <border>
      <left/>
      <right/>
      <top style="thin">
        <color theme="0"/>
      </top>
      <bottom style="thin">
        <color theme="0"/>
      </bottom>
      <diagonal/>
    </border>
    <border>
      <left/>
      <right style="thin">
        <color theme="0" tint="-0.14999847407452621"/>
      </right>
      <top style="thin">
        <color theme="0" tint="-0.14999847407452621"/>
      </top>
      <bottom/>
      <diagonal/>
    </border>
  </borders>
  <cellStyleXfs count="47">
    <xf numFmtId="0" fontId="0" fillId="0" borderId="0"/>
    <xf numFmtId="44" fontId="3" fillId="0" borderId="0" applyFont="0" applyFill="0" applyBorder="0" applyAlignment="0" applyProtection="0"/>
    <xf numFmtId="0" fontId="9" fillId="0" borderId="0"/>
    <xf numFmtId="166" fontId="9" fillId="0" borderId="0" applyFont="0" applyFill="0" applyBorder="0" applyAlignment="0" applyProtection="0"/>
    <xf numFmtId="164" fontId="9" fillId="0" borderId="0" applyFont="0" applyFill="0" applyBorder="0" applyAlignment="0" applyProtection="0"/>
    <xf numFmtId="44" fontId="3" fillId="0" borderId="0" applyFont="0" applyFill="0" applyBorder="0" applyAlignment="0" applyProtection="0"/>
    <xf numFmtId="164" fontId="9" fillId="0" borderId="0" applyFont="0" applyFill="0" applyBorder="0" applyAlignment="0" applyProtection="0"/>
    <xf numFmtId="44" fontId="3" fillId="0" borderId="0" applyFont="0" applyFill="0" applyBorder="0" applyAlignment="0" applyProtection="0"/>
    <xf numFmtId="164" fontId="9" fillId="0" borderId="0" applyFont="0" applyFill="0" applyBorder="0" applyAlignment="0" applyProtection="0"/>
    <xf numFmtId="0" fontId="9" fillId="0" borderId="0"/>
    <xf numFmtId="0" fontId="3" fillId="0" borderId="0"/>
    <xf numFmtId="0" fontId="9" fillId="0" borderId="0"/>
    <xf numFmtId="0" fontId="3" fillId="0" borderId="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0" fontId="14" fillId="0" borderId="0"/>
    <xf numFmtId="0" fontId="3" fillId="7" borderId="0" applyNumberFormat="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9"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6"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7" borderId="0" applyNumberFormat="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8" fillId="14" borderId="0" applyNumberFormat="0" applyBorder="0" applyAlignment="0" applyProtection="0"/>
    <xf numFmtId="0" fontId="9" fillId="0" borderId="0"/>
    <xf numFmtId="0" fontId="9" fillId="0" borderId="0"/>
    <xf numFmtId="42" fontId="3" fillId="0" borderId="0" applyFont="0" applyFill="0" applyBorder="0" applyAlignment="0" applyProtection="0"/>
    <xf numFmtId="0" fontId="52" fillId="19" borderId="0" applyNumberFormat="0" applyBorder="0" applyAlignment="0" applyProtection="0"/>
  </cellStyleXfs>
  <cellXfs count="386">
    <xf numFmtId="0" fontId="0" fillId="0" borderId="0" xfId="0"/>
    <xf numFmtId="0" fontId="1" fillId="0" borderId="0" xfId="0" applyFont="1"/>
    <xf numFmtId="0" fontId="0" fillId="0" borderId="0" xfId="0" applyAlignment="1">
      <alignment horizontal="center"/>
    </xf>
    <xf numFmtId="0" fontId="5" fillId="2" borderId="0" xfId="0" applyFont="1" applyFill="1"/>
    <xf numFmtId="0" fontId="5" fillId="2" borderId="0" xfId="0" applyFont="1" applyFill="1" applyAlignment="1">
      <alignment horizontal="center"/>
    </xf>
    <xf numFmtId="0" fontId="7" fillId="3" borderId="0" xfId="0" applyFont="1" applyFill="1"/>
    <xf numFmtId="0" fontId="7" fillId="3" borderId="0" xfId="0" applyFont="1" applyFill="1" applyAlignment="1">
      <alignment wrapText="1"/>
    </xf>
    <xf numFmtId="0" fontId="0" fillId="0" borderId="0" xfId="0" applyAlignment="1">
      <alignment horizontal="center" vertical="center"/>
    </xf>
    <xf numFmtId="44" fontId="0" fillId="0" borderId="0" xfId="1" applyFont="1" applyAlignment="1">
      <alignment horizontal="center"/>
    </xf>
    <xf numFmtId="0" fontId="7" fillId="0" borderId="0" xfId="0" applyFont="1"/>
    <xf numFmtId="0" fontId="7" fillId="0" borderId="0" xfId="0" applyFont="1" applyAlignment="1">
      <alignment wrapText="1"/>
    </xf>
    <xf numFmtId="44" fontId="0" fillId="0" borderId="2" xfId="1" applyFont="1" applyBorder="1" applyAlignment="1">
      <alignment horizontal="center"/>
    </xf>
    <xf numFmtId="44" fontId="0" fillId="0" borderId="0" xfId="1" applyFont="1" applyFill="1" applyBorder="1" applyAlignment="1">
      <alignment horizontal="center"/>
    </xf>
    <xf numFmtId="44" fontId="0" fillId="0" borderId="0" xfId="1" applyFont="1" applyBorder="1" applyAlignment="1">
      <alignment horizontal="center"/>
    </xf>
    <xf numFmtId="0" fontId="12" fillId="0" borderId="0" xfId="0" applyFont="1" applyAlignment="1">
      <alignment horizontal="center" vertical="center"/>
    </xf>
    <xf numFmtId="44" fontId="12" fillId="0" borderId="0" xfId="1" applyFont="1" applyFill="1" applyBorder="1" applyAlignment="1">
      <alignment horizontal="center"/>
    </xf>
    <xf numFmtId="0" fontId="0" fillId="0" borderId="0" xfId="0" applyAlignment="1">
      <alignment horizontal="left"/>
    </xf>
    <xf numFmtId="0" fontId="1" fillId="0" borderId="0" xfId="0" applyFont="1" applyAlignment="1">
      <alignment horizontal="left"/>
    </xf>
    <xf numFmtId="0" fontId="0" fillId="4" borderId="0" xfId="0" applyFill="1"/>
    <xf numFmtId="0" fontId="1" fillId="0" borderId="0" xfId="0" applyFont="1" applyAlignment="1">
      <alignment horizontal="center"/>
    </xf>
    <xf numFmtId="44" fontId="5" fillId="2" borderId="0" xfId="1" applyFont="1" applyFill="1" applyAlignment="1">
      <alignment horizontal="center"/>
    </xf>
    <xf numFmtId="0" fontId="0" fillId="0" borderId="3" xfId="0" applyBorder="1"/>
    <xf numFmtId="0" fontId="17" fillId="4" borderId="0" xfId="0" applyFont="1" applyFill="1" applyAlignment="1">
      <alignment horizontal="center" vertical="center" wrapText="1"/>
    </xf>
    <xf numFmtId="0" fontId="18" fillId="0" borderId="0" xfId="0" applyFont="1" applyAlignment="1">
      <alignment horizontal="center" vertical="center"/>
    </xf>
    <xf numFmtId="0" fontId="1" fillId="0" borderId="0" xfId="0" applyFont="1" applyAlignment="1">
      <alignment horizontal="center" vertical="center"/>
    </xf>
    <xf numFmtId="44" fontId="3" fillId="0" borderId="0" xfId="1" applyFont="1" applyBorder="1" applyAlignment="1">
      <alignment horizontal="center"/>
    </xf>
    <xf numFmtId="0" fontId="6" fillId="6" borderId="0" xfId="0" applyFont="1" applyFill="1" applyAlignment="1">
      <alignment horizontal="center" vertical="center"/>
    </xf>
    <xf numFmtId="0" fontId="5" fillId="6" borderId="0" xfId="0" applyFont="1" applyFill="1" applyAlignment="1">
      <alignment horizontal="center" vertical="center"/>
    </xf>
    <xf numFmtId="44" fontId="0" fillId="0" borderId="0" xfId="1" applyFont="1"/>
    <xf numFmtId="44" fontId="0" fillId="0" borderId="0" xfId="1" applyFont="1" applyBorder="1"/>
    <xf numFmtId="0" fontId="18" fillId="6" borderId="4" xfId="0" applyFont="1" applyFill="1" applyBorder="1" applyAlignment="1" applyProtection="1">
      <alignment horizontal="center" vertical="center"/>
      <protection locked="0"/>
    </xf>
    <xf numFmtId="44" fontId="3" fillId="0" borderId="0" xfId="1" applyFont="1" applyFill="1" applyBorder="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16" fillId="0" borderId="0" xfId="0" applyFont="1" applyAlignment="1">
      <alignment horizontal="center" vertical="center" wrapText="1"/>
    </xf>
    <xf numFmtId="44" fontId="0" fillId="0" borderId="0" xfId="1" applyFont="1" applyFill="1" applyAlignment="1">
      <alignment horizontal="center"/>
    </xf>
    <xf numFmtId="1" fontId="0" fillId="0" borderId="0" xfId="0" applyNumberFormat="1" applyAlignment="1">
      <alignment horizontal="center"/>
    </xf>
    <xf numFmtId="1" fontId="4" fillId="8" borderId="0" xfId="0" applyNumberFormat="1" applyFont="1" applyFill="1" applyAlignment="1">
      <alignment horizontal="center"/>
    </xf>
    <xf numFmtId="0" fontId="4" fillId="8" borderId="0" xfId="0" applyFont="1" applyFill="1"/>
    <xf numFmtId="0" fontId="0" fillId="9" borderId="0" xfId="0" applyFill="1" applyAlignment="1">
      <alignment horizontal="center"/>
    </xf>
    <xf numFmtId="0" fontId="0" fillId="9" borderId="0" xfId="0" applyFill="1"/>
    <xf numFmtId="0" fontId="0" fillId="8" borderId="0" xfId="0" applyFill="1"/>
    <xf numFmtId="0" fontId="1" fillId="0" borderId="0" xfId="0" applyFont="1" applyAlignment="1">
      <alignment wrapText="1"/>
    </xf>
    <xf numFmtId="0" fontId="5" fillId="2" borderId="0" xfId="0" applyFont="1" applyFill="1" applyAlignment="1">
      <alignment wrapText="1"/>
    </xf>
    <xf numFmtId="0" fontId="12" fillId="0" borderId="0" xfId="0" applyFont="1"/>
    <xf numFmtId="0" fontId="4" fillId="8" borderId="0" xfId="0" applyFont="1" applyFill="1" applyAlignment="1">
      <alignment horizontal="center"/>
    </xf>
    <xf numFmtId="0" fontId="4" fillId="8" borderId="0" xfId="0" applyFont="1" applyFill="1" applyAlignment="1">
      <alignment horizontal="center" wrapText="1"/>
    </xf>
    <xf numFmtId="0" fontId="7" fillId="0" borderId="0" xfId="0" applyFont="1" applyAlignment="1">
      <alignment horizontal="center"/>
    </xf>
    <xf numFmtId="0" fontId="19" fillId="0" borderId="0" xfId="0" applyFont="1" applyAlignment="1">
      <alignment horizontal="center"/>
    </xf>
    <xf numFmtId="0" fontId="0" fillId="0" borderId="0" xfId="0" applyAlignment="1">
      <alignment vertical="center"/>
    </xf>
    <xf numFmtId="1" fontId="0" fillId="0" borderId="0" xfId="0" applyNumberFormat="1" applyAlignment="1">
      <alignment horizontal="center" vertical="center"/>
    </xf>
    <xf numFmtId="44" fontId="4" fillId="0" borderId="0" xfId="1" applyFont="1" applyFill="1" applyAlignment="1">
      <alignment vertical="center"/>
    </xf>
    <xf numFmtId="0" fontId="4" fillId="0" borderId="0" xfId="0" applyFont="1"/>
    <xf numFmtId="0" fontId="7" fillId="4" borderId="0" xfId="0" applyFont="1" applyFill="1" applyAlignment="1">
      <alignment horizontal="center"/>
    </xf>
    <xf numFmtId="44" fontId="7" fillId="4" borderId="0" xfId="1" applyFont="1" applyFill="1" applyBorder="1"/>
    <xf numFmtId="0" fontId="7" fillId="4" borderId="0" xfId="0" applyFont="1" applyFill="1"/>
    <xf numFmtId="0" fontId="18" fillId="0" borderId="0" xfId="0" applyFont="1" applyAlignment="1">
      <alignment horizontal="center"/>
    </xf>
    <xf numFmtId="0" fontId="21" fillId="0" borderId="0" xfId="0" applyFont="1" applyAlignment="1">
      <alignment horizontal="center"/>
    </xf>
    <xf numFmtId="4" fontId="7" fillId="4" borderId="0" xfId="0" applyNumberFormat="1" applyFont="1" applyFill="1" applyAlignment="1">
      <alignment horizontal="center"/>
    </xf>
    <xf numFmtId="0" fontId="0" fillId="0" borderId="0" xfId="0" applyAlignment="1">
      <alignment horizontal="center" wrapText="1"/>
    </xf>
    <xf numFmtId="0" fontId="6" fillId="2" borderId="0" xfId="0" applyFont="1" applyFill="1" applyAlignment="1">
      <alignment horizontal="center"/>
    </xf>
    <xf numFmtId="0" fontId="0" fillId="2" borderId="0" xfId="0" applyFill="1"/>
    <xf numFmtId="0" fontId="0" fillId="3" borderId="0" xfId="0" applyFill="1"/>
    <xf numFmtId="165" fontId="9" fillId="0" borderId="1" xfId="6" applyNumberFormat="1" applyFont="1" applyFill="1" applyBorder="1" applyProtection="1"/>
    <xf numFmtId="0" fontId="9" fillId="0" borderId="1" xfId="9" applyBorder="1" applyAlignment="1">
      <alignment horizontal="left"/>
    </xf>
    <xf numFmtId="0" fontId="9" fillId="0" borderId="1" xfId="9" applyBorder="1" applyAlignment="1">
      <alignment horizontal="left" vertical="center"/>
    </xf>
    <xf numFmtId="0" fontId="10" fillId="3" borderId="1" xfId="9" applyFont="1" applyFill="1" applyBorder="1" applyAlignment="1">
      <alignment horizontal="center" vertical="center"/>
    </xf>
    <xf numFmtId="0" fontId="0" fillId="10" borderId="0" xfId="0" applyFill="1"/>
    <xf numFmtId="4" fontId="7" fillId="10" borderId="0" xfId="0" applyNumberFormat="1" applyFont="1" applyFill="1" applyAlignment="1">
      <alignment horizontal="center"/>
    </xf>
    <xf numFmtId="0" fontId="0" fillId="11" borderId="0" xfId="0" applyFill="1"/>
    <xf numFmtId="0" fontId="10" fillId="0" borderId="1" xfId="9" applyFont="1" applyBorder="1" applyAlignment="1">
      <alignment horizontal="center" vertical="center"/>
    </xf>
    <xf numFmtId="0" fontId="9" fillId="0" borderId="0" xfId="9" applyAlignment="1">
      <alignment horizontal="center"/>
    </xf>
    <xf numFmtId="49" fontId="10" fillId="0" borderId="1" xfId="9" quotePrefix="1" applyNumberFormat="1" applyFont="1" applyBorder="1" applyAlignment="1">
      <alignment horizontal="center" vertical="center"/>
    </xf>
    <xf numFmtId="49" fontId="10" fillId="0" borderId="1" xfId="9" applyNumberFormat="1" applyFont="1" applyBorder="1" applyAlignment="1">
      <alignment horizontal="center" vertical="center"/>
    </xf>
    <xf numFmtId="165" fontId="9" fillId="5" borderId="1" xfId="6" applyNumberFormat="1" applyFont="1" applyFill="1" applyBorder="1" applyProtection="1"/>
    <xf numFmtId="0" fontId="9" fillId="0" borderId="1" xfId="9" applyBorder="1" applyAlignment="1">
      <alignment horizontal="center"/>
    </xf>
    <xf numFmtId="165" fontId="9" fillId="0" borderId="1" xfId="6" applyNumberFormat="1" applyFont="1" applyBorder="1" applyProtection="1"/>
    <xf numFmtId="0" fontId="9" fillId="0" borderId="1" xfId="9" applyBorder="1" applyAlignment="1">
      <alignment horizontal="left" wrapText="1"/>
    </xf>
    <xf numFmtId="0" fontId="4" fillId="10" borderId="0" xfId="0" applyFont="1" applyFill="1" applyAlignment="1">
      <alignment horizontal="center"/>
    </xf>
    <xf numFmtId="0" fontId="0" fillId="10" borderId="0" xfId="0" applyFill="1" applyAlignment="1">
      <alignment horizontal="center"/>
    </xf>
    <xf numFmtId="0" fontId="18" fillId="6" borderId="6" xfId="0" applyFont="1" applyFill="1" applyBorder="1" applyAlignment="1" applyProtection="1">
      <alignment horizontal="center" vertical="center"/>
      <protection locked="0"/>
    </xf>
    <xf numFmtId="0" fontId="18" fillId="6" borderId="7" xfId="0" applyFont="1" applyFill="1" applyBorder="1" applyAlignment="1" applyProtection="1">
      <alignment horizontal="center" vertical="center"/>
      <protection locked="0"/>
    </xf>
    <xf numFmtId="0" fontId="1" fillId="11" borderId="0" xfId="0" applyFont="1" applyFill="1"/>
    <xf numFmtId="1" fontId="0" fillId="8" borderId="0" xfId="0" applyNumberFormat="1" applyFill="1" applyAlignment="1">
      <alignment horizontal="center"/>
    </xf>
    <xf numFmtId="0" fontId="28" fillId="0" borderId="0" xfId="0" applyFont="1" applyAlignment="1">
      <alignment horizontal="center"/>
    </xf>
    <xf numFmtId="0" fontId="28" fillId="0" borderId="0" xfId="0" applyFont="1"/>
    <xf numFmtId="0" fontId="0" fillId="8" borderId="0" xfId="0" applyFill="1" applyAlignment="1">
      <alignment horizontal="center"/>
    </xf>
    <xf numFmtId="0" fontId="0" fillId="4" borderId="0" xfId="0" applyFill="1" applyAlignment="1">
      <alignment horizontal="center"/>
    </xf>
    <xf numFmtId="44" fontId="4" fillId="8" borderId="0" xfId="1" applyFont="1" applyFill="1" applyAlignment="1">
      <alignment horizontal="center"/>
    </xf>
    <xf numFmtId="44" fontId="4" fillId="8" borderId="0" xfId="1" applyFont="1" applyFill="1"/>
    <xf numFmtId="44" fontId="0" fillId="9" borderId="0" xfId="1" applyFont="1" applyFill="1"/>
    <xf numFmtId="44" fontId="28" fillId="0" borderId="0" xfId="1" applyFont="1" applyFill="1"/>
    <xf numFmtId="44" fontId="0" fillId="0" borderId="0" xfId="1" applyFont="1" applyFill="1"/>
    <xf numFmtId="44" fontId="0" fillId="8" borderId="0" xfId="1" applyFont="1" applyFill="1"/>
    <xf numFmtId="44" fontId="0" fillId="4" borderId="0" xfId="1" applyFont="1" applyFill="1"/>
    <xf numFmtId="44" fontId="0" fillId="9" borderId="0" xfId="1" applyFont="1" applyFill="1" applyBorder="1"/>
    <xf numFmtId="44" fontId="0" fillId="4" borderId="0" xfId="1" applyFont="1" applyFill="1" applyBorder="1"/>
    <xf numFmtId="44" fontId="0" fillId="8" borderId="0" xfId="1" applyFont="1" applyFill="1" applyBorder="1"/>
    <xf numFmtId="44" fontId="0" fillId="9" borderId="0" xfId="1" applyFont="1" applyFill="1" applyBorder="1" applyAlignment="1">
      <alignment horizontal="center"/>
    </xf>
    <xf numFmtId="44" fontId="0" fillId="8" borderId="0" xfId="1" applyFont="1" applyFill="1" applyBorder="1" applyAlignment="1">
      <alignment horizontal="center"/>
    </xf>
    <xf numFmtId="44" fontId="0" fillId="4" borderId="0" xfId="1" applyFont="1" applyFill="1" applyBorder="1" applyAlignment="1">
      <alignment horizontal="center"/>
    </xf>
    <xf numFmtId="44" fontId="0" fillId="0" borderId="0" xfId="1" applyFont="1" applyFill="1" applyBorder="1"/>
    <xf numFmtId="0" fontId="18" fillId="0" borderId="0" xfId="0" applyFont="1"/>
    <xf numFmtId="0" fontId="22" fillId="0" borderId="0" xfId="0" applyFont="1" applyAlignment="1">
      <alignment horizontal="center" vertical="center"/>
    </xf>
    <xf numFmtId="7" fontId="23" fillId="11" borderId="0" xfId="1" applyNumberFormat="1" applyFont="1" applyFill="1" applyBorder="1" applyAlignment="1">
      <alignment vertical="center"/>
    </xf>
    <xf numFmtId="0" fontId="0" fillId="11" borderId="0" xfId="0" applyFill="1" applyAlignment="1">
      <alignment vertical="center"/>
    </xf>
    <xf numFmtId="0" fontId="0" fillId="0" borderId="0" xfId="1" applyNumberFormat="1" applyFont="1" applyAlignment="1">
      <alignment horizontal="center"/>
    </xf>
    <xf numFmtId="0" fontId="30" fillId="0" borderId="0" xfId="0" applyFont="1" applyAlignment="1">
      <alignment horizontal="center"/>
    </xf>
    <xf numFmtId="44" fontId="0" fillId="0" borderId="0" xfId="1" applyFont="1" applyBorder="1" applyAlignment="1" applyProtection="1">
      <alignment horizontal="center"/>
    </xf>
    <xf numFmtId="44" fontId="0" fillId="0" borderId="0" xfId="1" applyFont="1" applyAlignment="1" applyProtection="1">
      <alignment horizontal="center"/>
    </xf>
    <xf numFmtId="44" fontId="0" fillId="0" borderId="0" xfId="1" applyFont="1" applyFill="1" applyBorder="1" applyAlignment="1" applyProtection="1">
      <alignment horizontal="center"/>
    </xf>
    <xf numFmtId="0" fontId="4" fillId="0" borderId="0" xfId="0" applyFont="1" applyAlignment="1">
      <alignment horizontal="center" vertical="center"/>
    </xf>
    <xf numFmtId="0" fontId="0" fillId="0" borderId="0" xfId="0" applyProtection="1">
      <protection locked="0"/>
    </xf>
    <xf numFmtId="44" fontId="27" fillId="0" borderId="0" xfId="1" applyFont="1" applyFill="1" applyBorder="1"/>
    <xf numFmtId="0" fontId="27" fillId="0" borderId="0" xfId="0" applyFont="1" applyAlignment="1">
      <alignment horizontal="center"/>
    </xf>
    <xf numFmtId="0" fontId="27" fillId="0" borderId="0" xfId="0" applyFont="1"/>
    <xf numFmtId="44" fontId="27" fillId="0" borderId="0" xfId="1" applyFont="1" applyFill="1" applyBorder="1" applyAlignment="1">
      <alignment horizontal="center"/>
    </xf>
    <xf numFmtId="0" fontId="4" fillId="0" borderId="0" xfId="0" applyFont="1" applyAlignment="1">
      <alignment horizontal="center"/>
    </xf>
    <xf numFmtId="0" fontId="28" fillId="9" borderId="0" xfId="0" applyFont="1" applyFill="1"/>
    <xf numFmtId="0" fontId="31" fillId="3" borderId="0" xfId="0" applyFont="1" applyFill="1"/>
    <xf numFmtId="0" fontId="17" fillId="0" borderId="0" xfId="0" applyFont="1" applyAlignment="1">
      <alignment vertical="center" wrapText="1"/>
    </xf>
    <xf numFmtId="0" fontId="33" fillId="0" borderId="13" xfId="0" applyFont="1" applyBorder="1" applyAlignment="1">
      <alignment vertical="center" wrapText="1"/>
    </xf>
    <xf numFmtId="0" fontId="7" fillId="3" borderId="12" xfId="0" applyFont="1" applyFill="1" applyBorder="1"/>
    <xf numFmtId="0" fontId="1" fillId="0" borderId="14" xfId="0" applyFont="1" applyBorder="1"/>
    <xf numFmtId="0" fontId="7" fillId="3" borderId="14" xfId="0" applyFont="1" applyFill="1" applyBorder="1"/>
    <xf numFmtId="0" fontId="1" fillId="0" borderId="15" xfId="0" applyFont="1" applyBorder="1"/>
    <xf numFmtId="0" fontId="7" fillId="3" borderId="16" xfId="0" applyFont="1" applyFill="1" applyBorder="1"/>
    <xf numFmtId="0" fontId="0" fillId="0" borderId="0" xfId="0" applyAlignment="1">
      <alignment horizontal="left" wrapText="1"/>
    </xf>
    <xf numFmtId="0" fontId="5" fillId="2" borderId="0" xfId="0" applyFont="1" applyFill="1" applyAlignment="1">
      <alignment horizontal="left" vertical="top"/>
    </xf>
    <xf numFmtId="0" fontId="5" fillId="2" borderId="0" xfId="0" applyFont="1" applyFill="1" applyAlignment="1">
      <alignment horizontal="left"/>
    </xf>
    <xf numFmtId="0" fontId="36" fillId="0" borderId="0" xfId="0" applyFont="1" applyAlignment="1">
      <alignment horizontal="center"/>
    </xf>
    <xf numFmtId="44" fontId="36" fillId="0" borderId="0" xfId="1" applyFont="1" applyFill="1" applyBorder="1" applyAlignment="1">
      <alignment horizontal="center"/>
    </xf>
    <xf numFmtId="0" fontId="0" fillId="12" borderId="0" xfId="0" applyFill="1"/>
    <xf numFmtId="0" fontId="0" fillId="13" borderId="0" xfId="0" applyFill="1"/>
    <xf numFmtId="0" fontId="17" fillId="13" borderId="0" xfId="0" applyFont="1" applyFill="1" applyAlignment="1">
      <alignment horizontal="center" vertical="center"/>
    </xf>
    <xf numFmtId="0" fontId="24" fillId="13" borderId="0" xfId="0" applyFont="1" applyFill="1"/>
    <xf numFmtId="0" fontId="1" fillId="13" borderId="0" xfId="0" applyFont="1" applyFill="1"/>
    <xf numFmtId="0" fontId="24" fillId="13" borderId="0" xfId="0" applyFont="1" applyFill="1" applyAlignment="1">
      <alignment vertical="center"/>
    </xf>
    <xf numFmtId="0" fontId="24" fillId="13" borderId="0" xfId="0" applyFont="1" applyFill="1" applyAlignment="1">
      <alignment wrapText="1"/>
    </xf>
    <xf numFmtId="0" fontId="29" fillId="13" borderId="0" xfId="0" applyFont="1" applyFill="1" applyAlignment="1">
      <alignment horizontal="center"/>
    </xf>
    <xf numFmtId="0" fontId="27" fillId="4" borderId="10" xfId="0" applyFont="1" applyFill="1" applyBorder="1"/>
    <xf numFmtId="0" fontId="27" fillId="4" borderId="10" xfId="0" applyFont="1" applyFill="1" applyBorder="1" applyAlignment="1">
      <alignment horizontal="center"/>
    </xf>
    <xf numFmtId="44" fontId="27" fillId="4" borderId="11" xfId="1" applyFont="1" applyFill="1" applyBorder="1" applyAlignment="1" applyProtection="1">
      <alignment horizontal="center"/>
    </xf>
    <xf numFmtId="0" fontId="4" fillId="6" borderId="5" xfId="0" applyFont="1" applyFill="1" applyBorder="1" applyAlignment="1">
      <alignment horizontal="center"/>
    </xf>
    <xf numFmtId="44" fontId="27" fillId="0" borderId="8" xfId="1" applyFont="1" applyFill="1" applyBorder="1" applyProtection="1"/>
    <xf numFmtId="0" fontId="1" fillId="10" borderId="0" xfId="0" applyFont="1" applyFill="1" applyProtection="1">
      <protection locked="0"/>
    </xf>
    <xf numFmtId="44" fontId="7" fillId="10" borderId="0" xfId="1" applyFont="1" applyFill="1" applyBorder="1" applyProtection="1">
      <protection locked="0"/>
    </xf>
    <xf numFmtId="0" fontId="7" fillId="10" borderId="0" xfId="0" applyFont="1" applyFill="1" applyAlignment="1" applyProtection="1">
      <alignment horizontal="center"/>
      <protection locked="0"/>
    </xf>
    <xf numFmtId="7" fontId="23" fillId="10" borderId="0" xfId="1" applyNumberFormat="1" applyFont="1" applyFill="1" applyBorder="1" applyAlignment="1" applyProtection="1">
      <alignment vertical="center"/>
      <protection locked="0"/>
    </xf>
    <xf numFmtId="0" fontId="18" fillId="10" borderId="0" xfId="0" applyFont="1" applyFill="1" applyProtection="1">
      <protection locked="0"/>
    </xf>
    <xf numFmtId="0" fontId="0" fillId="12" borderId="0" xfId="0" applyFill="1" applyAlignment="1">
      <alignment horizontal="center" vertical="center" wrapText="1"/>
    </xf>
    <xf numFmtId="0" fontId="18" fillId="6" borderId="20" xfId="0" applyFont="1" applyFill="1" applyBorder="1" applyAlignment="1" applyProtection="1">
      <alignment horizontal="center" vertical="center"/>
      <protection locked="0"/>
    </xf>
    <xf numFmtId="0" fontId="4" fillId="6" borderId="6" xfId="0" applyFont="1" applyFill="1" applyBorder="1" applyAlignment="1" applyProtection="1">
      <alignment horizontal="center" vertical="center"/>
      <protection locked="0"/>
    </xf>
    <xf numFmtId="0" fontId="0" fillId="0" borderId="24" xfId="0" applyBorder="1"/>
    <xf numFmtId="0" fontId="0" fillId="0" borderId="23" xfId="0" applyBorder="1"/>
    <xf numFmtId="0" fontId="11" fillId="0" borderId="22" xfId="0" applyFont="1" applyBorder="1" applyAlignment="1">
      <alignment wrapText="1"/>
    </xf>
    <xf numFmtId="0" fontId="0" fillId="0" borderId="26" xfId="0" applyBorder="1"/>
    <xf numFmtId="0" fontId="35" fillId="0" borderId="0" xfId="0" applyFont="1" applyAlignment="1">
      <alignment horizontal="left"/>
    </xf>
    <xf numFmtId="0" fontId="4" fillId="6" borderId="0" xfId="0" applyFont="1" applyFill="1" applyAlignment="1" applyProtection="1">
      <alignment horizontal="center" vertical="center"/>
      <protection locked="0"/>
    </xf>
    <xf numFmtId="44" fontId="42" fillId="0" borderId="0" xfId="1" applyFont="1" applyFill="1" applyBorder="1" applyAlignment="1">
      <alignment horizontal="center"/>
    </xf>
    <xf numFmtId="0" fontId="0" fillId="6" borderId="0" xfId="0" applyFill="1" applyAlignment="1">
      <alignment horizontal="center"/>
    </xf>
    <xf numFmtId="0" fontId="0" fillId="0" borderId="0" xfId="0" applyAlignment="1">
      <alignment wrapText="1"/>
    </xf>
    <xf numFmtId="0" fontId="1" fillId="0" borderId="0" xfId="0" applyFont="1" applyAlignment="1">
      <alignment vertical="center" wrapText="1"/>
    </xf>
    <xf numFmtId="0" fontId="1" fillId="0" borderId="0" xfId="0" applyFont="1" applyAlignment="1">
      <alignment horizontal="right"/>
    </xf>
    <xf numFmtId="44" fontId="0" fillId="5" borderId="0" xfId="1" applyFont="1" applyFill="1" applyBorder="1"/>
    <xf numFmtId="0" fontId="28" fillId="9" borderId="0" xfId="0" applyFont="1" applyFill="1" applyAlignment="1">
      <alignment horizontal="center"/>
    </xf>
    <xf numFmtId="44" fontId="28" fillId="9" borderId="0" xfId="1" applyFont="1" applyFill="1" applyBorder="1"/>
    <xf numFmtId="44" fontId="0" fillId="5" borderId="0" xfId="1" applyFont="1" applyFill="1" applyBorder="1" applyAlignment="1">
      <alignment horizontal="center"/>
    </xf>
    <xf numFmtId="0" fontId="0" fillId="16" borderId="0" xfId="0" applyFill="1" applyAlignment="1">
      <alignment horizontal="center"/>
    </xf>
    <xf numFmtId="44" fontId="0" fillId="16" borderId="0" xfId="1" applyFont="1" applyFill="1" applyBorder="1" applyAlignment="1">
      <alignment horizontal="center"/>
    </xf>
    <xf numFmtId="0" fontId="48" fillId="13" borderId="0" xfId="0" applyFont="1" applyFill="1" applyAlignment="1">
      <alignment horizontal="left" vertical="center"/>
    </xf>
    <xf numFmtId="0" fontId="48" fillId="0" borderId="0" xfId="0" applyFont="1" applyAlignment="1">
      <alignment horizontal="left" vertical="center"/>
    </xf>
    <xf numFmtId="0" fontId="7" fillId="17" borderId="0" xfId="0" applyFont="1" applyFill="1"/>
    <xf numFmtId="0" fontId="9" fillId="0" borderId="0" xfId="0" applyFont="1" applyAlignment="1">
      <alignment vertical="center"/>
    </xf>
    <xf numFmtId="0" fontId="50" fillId="0" borderId="0" xfId="0" applyFont="1" applyAlignment="1">
      <alignment vertical="center"/>
    </xf>
    <xf numFmtId="0" fontId="50" fillId="0" borderId="0" xfId="0" applyFont="1" applyAlignment="1">
      <alignment horizontal="left" vertical="center" indent="1"/>
    </xf>
    <xf numFmtId="0" fontId="51" fillId="0" borderId="0" xfId="0" applyFont="1" applyAlignment="1">
      <alignment horizontal="center" vertical="center"/>
    </xf>
    <xf numFmtId="0" fontId="1" fillId="18" borderId="28" xfId="0" applyFont="1" applyFill="1" applyBorder="1" applyAlignment="1">
      <alignment horizontal="center"/>
    </xf>
    <xf numFmtId="0" fontId="1" fillId="18" borderId="27" xfId="0" applyFont="1" applyFill="1" applyBorder="1" applyAlignment="1">
      <alignment horizontal="center"/>
    </xf>
    <xf numFmtId="0" fontId="1" fillId="18" borderId="29" xfId="0" applyFont="1" applyFill="1" applyBorder="1" applyAlignment="1">
      <alignment horizontal="center"/>
    </xf>
    <xf numFmtId="0" fontId="1" fillId="18" borderId="30" xfId="0" applyFont="1" applyFill="1" applyBorder="1" applyAlignment="1">
      <alignment horizontal="center"/>
    </xf>
    <xf numFmtId="0" fontId="0" fillId="0" borderId="31" xfId="0" applyBorder="1" applyAlignment="1">
      <alignment horizontal="center"/>
    </xf>
    <xf numFmtId="0" fontId="1" fillId="18" borderId="31" xfId="0" applyFont="1" applyFill="1" applyBorder="1" applyAlignment="1">
      <alignment horizontal="center"/>
    </xf>
    <xf numFmtId="0" fontId="7" fillId="18" borderId="0" xfId="0" applyFont="1" applyFill="1" applyAlignment="1">
      <alignment wrapText="1"/>
    </xf>
    <xf numFmtId="4" fontId="0" fillId="0" borderId="0" xfId="0" applyNumberFormat="1"/>
    <xf numFmtId="0" fontId="50" fillId="0" borderId="0" xfId="0" applyFont="1" applyAlignment="1">
      <alignment horizontal="left"/>
    </xf>
    <xf numFmtId="0" fontId="50" fillId="0" borderId="0" xfId="0" applyFont="1" applyAlignment="1">
      <alignment horizontal="left" indent="1"/>
    </xf>
    <xf numFmtId="167" fontId="0" fillId="0" borderId="0" xfId="0" applyNumberFormat="1" applyAlignment="1">
      <alignment vertical="center"/>
    </xf>
    <xf numFmtId="4" fontId="0" fillId="0" borderId="0" xfId="0" applyNumberFormat="1" applyAlignment="1">
      <alignment vertical="center"/>
    </xf>
    <xf numFmtId="0" fontId="53" fillId="0" borderId="0" xfId="0" applyFont="1" applyAlignment="1">
      <alignment horizontal="centerContinuous" vertical="center"/>
    </xf>
    <xf numFmtId="0" fontId="54" fillId="5" borderId="0" xfId="0" applyFont="1" applyFill="1" applyAlignment="1">
      <alignment horizontal="left" vertical="center"/>
    </xf>
    <xf numFmtId="0" fontId="53" fillId="5" borderId="0" xfId="0" applyFont="1" applyFill="1" applyAlignment="1">
      <alignment horizontal="centerContinuous" vertical="center"/>
    </xf>
    <xf numFmtId="0" fontId="9" fillId="5" borderId="0" xfId="0" applyFont="1" applyFill="1" applyAlignment="1">
      <alignment vertical="center"/>
    </xf>
    <xf numFmtId="0" fontId="40" fillId="0" borderId="0" xfId="0" applyFont="1" applyAlignment="1">
      <alignment vertical="center"/>
    </xf>
    <xf numFmtId="0" fontId="39" fillId="0" borderId="0" xfId="0" applyFont="1" applyAlignment="1">
      <alignment vertical="center"/>
    </xf>
    <xf numFmtId="0" fontId="55" fillId="0" borderId="32" xfId="0" applyFont="1" applyBorder="1" applyAlignment="1">
      <alignment horizontal="left" vertical="center" wrapText="1"/>
    </xf>
    <xf numFmtId="0" fontId="55" fillId="0" borderId="32" xfId="0" applyFont="1" applyBorder="1" applyAlignment="1">
      <alignment horizontal="right" vertical="center" wrapText="1"/>
    </xf>
    <xf numFmtId="0" fontId="0" fillId="0" borderId="32" xfId="0" applyBorder="1" applyAlignment="1">
      <alignment vertical="center"/>
    </xf>
    <xf numFmtId="4" fontId="55" fillId="0" borderId="32" xfId="0" applyNumberFormat="1" applyFont="1" applyBorder="1" applyAlignment="1">
      <alignment horizontal="left" vertical="center" wrapText="1"/>
    </xf>
    <xf numFmtId="0" fontId="50" fillId="0" borderId="32" xfId="0" applyFont="1" applyBorder="1" applyAlignment="1">
      <alignment horizontal="left" vertical="center" indent="1"/>
    </xf>
    <xf numFmtId="0" fontId="56" fillId="0" borderId="0" xfId="0" applyFont="1" applyAlignment="1">
      <alignment horizontal="center" vertical="center" wrapText="1"/>
    </xf>
    <xf numFmtId="0" fontId="9" fillId="0" borderId="0" xfId="0" applyFont="1" applyAlignment="1">
      <alignment vertical="center" wrapText="1"/>
    </xf>
    <xf numFmtId="0" fontId="10" fillId="0" borderId="1" xfId="0" applyFont="1" applyBorder="1" applyAlignment="1">
      <alignment horizontal="center" vertical="center" wrapText="1"/>
    </xf>
    <xf numFmtId="168" fontId="54" fillId="0" borderId="0" xfId="0" applyNumberFormat="1" applyFont="1" applyAlignment="1">
      <alignment vertical="center"/>
    </xf>
    <xf numFmtId="0" fontId="0" fillId="0" borderId="33" xfId="0" applyBorder="1" applyAlignment="1">
      <alignment vertical="center"/>
    </xf>
    <xf numFmtId="4" fontId="54" fillId="20" borderId="1" xfId="0" applyNumberFormat="1" applyFont="1" applyFill="1" applyBorder="1" applyAlignment="1">
      <alignment vertical="center"/>
    </xf>
    <xf numFmtId="169" fontId="50" fillId="0" borderId="0" xfId="0" quotePrefix="1" applyNumberFormat="1" applyFont="1" applyAlignment="1">
      <alignment horizontal="right" vertical="center"/>
    </xf>
    <xf numFmtId="0" fontId="57" fillId="0" borderId="0" xfId="46" applyFont="1" applyFill="1" applyAlignment="1">
      <alignment vertical="center"/>
    </xf>
    <xf numFmtId="2" fontId="39" fillId="0" borderId="0" xfId="0" applyNumberFormat="1" applyFont="1" applyAlignment="1">
      <alignment vertical="center"/>
    </xf>
    <xf numFmtId="0" fontId="50" fillId="5" borderId="0" xfId="0" applyFont="1" applyFill="1" applyAlignment="1">
      <alignment vertical="center"/>
    </xf>
    <xf numFmtId="165" fontId="39" fillId="0" borderId="0" xfId="0" applyNumberFormat="1" applyFont="1" applyAlignment="1">
      <alignment vertical="center"/>
    </xf>
    <xf numFmtId="0" fontId="57" fillId="0" borderId="0" xfId="46" applyFont="1" applyFill="1"/>
    <xf numFmtId="170" fontId="39" fillId="0" borderId="0" xfId="45" applyNumberFormat="1" applyFont="1"/>
    <xf numFmtId="0" fontId="9" fillId="0" borderId="0" xfId="0" applyFont="1"/>
    <xf numFmtId="0" fontId="54" fillId="0" borderId="0" xfId="0" applyFont="1" applyAlignment="1">
      <alignment vertical="center"/>
    </xf>
    <xf numFmtId="171" fontId="50" fillId="0" borderId="0" xfId="0" applyNumberFormat="1" applyFont="1" applyAlignment="1">
      <alignment horizontal="right" vertical="center"/>
    </xf>
    <xf numFmtId="2" fontId="9" fillId="0" borderId="0" xfId="0" applyNumberFormat="1" applyFont="1" applyAlignment="1">
      <alignment vertical="center"/>
    </xf>
    <xf numFmtId="165" fontId="0" fillId="0" borderId="0" xfId="0" applyNumberFormat="1" applyAlignment="1">
      <alignment vertical="center"/>
    </xf>
    <xf numFmtId="0" fontId="0" fillId="0" borderId="34" xfId="0" applyBorder="1" applyAlignment="1">
      <alignment vertical="center"/>
    </xf>
    <xf numFmtId="2" fontId="10" fillId="0" borderId="34" xfId="0" applyNumberFormat="1" applyFont="1" applyBorder="1" applyAlignment="1">
      <alignment horizontal="right" vertical="center" indent="1"/>
    </xf>
    <xf numFmtId="0" fontId="58" fillId="0" borderId="0" xfId="0" applyFont="1" applyAlignment="1">
      <alignment vertical="center"/>
    </xf>
    <xf numFmtId="0" fontId="9" fillId="0" borderId="0" xfId="0" applyFont="1" applyAlignment="1">
      <alignment horizontal="right" vertical="center"/>
    </xf>
    <xf numFmtId="0" fontId="50" fillId="0" borderId="0" xfId="0" applyFont="1"/>
    <xf numFmtId="0" fontId="9" fillId="0" borderId="34" xfId="0" applyFont="1" applyBorder="1" applyAlignment="1">
      <alignment vertical="center"/>
    </xf>
    <xf numFmtId="0" fontId="28" fillId="0" borderId="34" xfId="46" applyFont="1" applyFill="1" applyBorder="1" applyAlignment="1">
      <alignment vertical="center"/>
    </xf>
    <xf numFmtId="0" fontId="54" fillId="0" borderId="0" xfId="0" quotePrefix="1" applyFont="1"/>
    <xf numFmtId="0" fontId="28" fillId="0" borderId="0" xfId="46" applyFont="1" applyFill="1" applyAlignment="1">
      <alignment vertical="center"/>
    </xf>
    <xf numFmtId="0" fontId="58" fillId="0" borderId="0" xfId="0" applyFont="1" applyAlignment="1">
      <alignment horizontal="left" vertical="center"/>
    </xf>
    <xf numFmtId="0" fontId="58" fillId="0" borderId="0" xfId="0" applyFont="1" applyAlignment="1">
      <alignment horizontal="left" vertical="center" indent="1"/>
    </xf>
    <xf numFmtId="0" fontId="28" fillId="0" borderId="0" xfId="46" applyFont="1" applyFill="1"/>
    <xf numFmtId="0" fontId="0" fillId="0" borderId="35" xfId="0" applyBorder="1" applyAlignment="1">
      <alignment vertical="center"/>
    </xf>
    <xf numFmtId="172" fontId="54" fillId="0" borderId="0" xfId="0" applyNumberFormat="1" applyFont="1" applyAlignment="1">
      <alignment vertical="center"/>
    </xf>
    <xf numFmtId="0" fontId="54" fillId="0" borderId="0" xfId="0" applyFont="1"/>
    <xf numFmtId="0" fontId="0" fillId="0" borderId="0" xfId="0" applyAlignment="1">
      <alignment horizontal="left" vertical="top"/>
    </xf>
    <xf numFmtId="0" fontId="18" fillId="6" borderId="36" xfId="0" applyFont="1" applyFill="1" applyBorder="1" applyAlignment="1" applyProtection="1">
      <alignment horizontal="center" vertical="center"/>
      <protection locked="0"/>
    </xf>
    <xf numFmtId="0" fontId="4" fillId="6" borderId="7" xfId="0" applyFont="1" applyFill="1" applyBorder="1" applyAlignment="1" applyProtection="1">
      <alignment horizontal="center" vertical="center"/>
      <protection locked="0"/>
    </xf>
    <xf numFmtId="0" fontId="4" fillId="6" borderId="37" xfId="0" applyFont="1" applyFill="1" applyBorder="1" applyAlignment="1" applyProtection="1">
      <alignment horizontal="center" vertical="center"/>
      <protection locked="0"/>
    </xf>
    <xf numFmtId="0" fontId="4" fillId="6" borderId="36" xfId="0" applyFont="1" applyFill="1" applyBorder="1" applyAlignment="1" applyProtection="1">
      <alignment horizontal="center" vertical="center"/>
      <protection locked="0"/>
    </xf>
    <xf numFmtId="0" fontId="60" fillId="0" borderId="0" xfId="0" applyFont="1"/>
    <xf numFmtId="0" fontId="7" fillId="3" borderId="0" xfId="0" applyFont="1" applyFill="1" applyAlignment="1">
      <alignment vertical="center" wrapText="1"/>
    </xf>
    <xf numFmtId="0" fontId="61" fillId="13" borderId="0" xfId="0" applyFont="1" applyFill="1" applyAlignment="1">
      <alignment horizontal="left" vertical="center"/>
    </xf>
    <xf numFmtId="0" fontId="4" fillId="21" borderId="0" xfId="0" applyFont="1" applyFill="1" applyAlignment="1">
      <alignment horizontal="center"/>
    </xf>
    <xf numFmtId="0" fontId="64" fillId="13" borderId="0" xfId="0" applyFont="1" applyFill="1" applyAlignment="1">
      <alignment horizontal="left" vertical="center"/>
    </xf>
    <xf numFmtId="0" fontId="66" fillId="13" borderId="0" xfId="0" applyFont="1" applyFill="1" applyAlignment="1">
      <alignment horizontal="left" vertical="center"/>
    </xf>
    <xf numFmtId="0" fontId="0" fillId="23" borderId="0" xfId="0" applyFill="1"/>
    <xf numFmtId="0" fontId="0" fillId="23" borderId="0" xfId="0" applyFill="1" applyAlignment="1">
      <alignment horizontal="center" vertical="center" wrapText="1"/>
    </xf>
    <xf numFmtId="0" fontId="67" fillId="0" borderId="0" xfId="0" applyFont="1" applyAlignment="1">
      <alignment horizontal="right"/>
    </xf>
    <xf numFmtId="0" fontId="11" fillId="0" borderId="0" xfId="0" applyFont="1" applyAlignment="1">
      <alignment wrapText="1"/>
    </xf>
    <xf numFmtId="0" fontId="12" fillId="0" borderId="0" xfId="0" applyFont="1" applyAlignment="1">
      <alignment horizontal="center"/>
    </xf>
    <xf numFmtId="0" fontId="11" fillId="0" borderId="0" xfId="0" applyFont="1" applyAlignment="1">
      <alignment vertical="center" wrapText="1"/>
    </xf>
    <xf numFmtId="0" fontId="70" fillId="0" borderId="0" xfId="0" applyFont="1" applyAlignment="1">
      <alignment horizontal="center"/>
    </xf>
    <xf numFmtId="44" fontId="70" fillId="0" borderId="0" xfId="1" applyFont="1" applyFill="1" applyBorder="1" applyAlignment="1">
      <alignment horizontal="center"/>
    </xf>
    <xf numFmtId="0" fontId="18" fillId="0" borderId="6" xfId="0" applyFont="1" applyBorder="1" applyAlignment="1">
      <alignment horizontal="center" vertical="center"/>
    </xf>
    <xf numFmtId="173" fontId="7" fillId="0" borderId="0" xfId="0" applyNumberFormat="1" applyFont="1" applyAlignment="1">
      <alignment horizontal="center"/>
    </xf>
    <xf numFmtId="173" fontId="0" fillId="0" borderId="0" xfId="0" applyNumberFormat="1"/>
    <xf numFmtId="173" fontId="19" fillId="0" borderId="0" xfId="0" applyNumberFormat="1" applyFont="1" applyAlignment="1">
      <alignment horizontal="center"/>
    </xf>
    <xf numFmtId="173" fontId="27" fillId="4" borderId="9" xfId="0" applyNumberFormat="1" applyFont="1" applyFill="1" applyBorder="1" applyAlignment="1">
      <alignment horizontal="center"/>
    </xf>
    <xf numFmtId="173" fontId="27" fillId="0" borderId="0" xfId="0" applyNumberFormat="1" applyFont="1" applyAlignment="1">
      <alignment horizontal="center"/>
    </xf>
    <xf numFmtId="173" fontId="7" fillId="4" borderId="0" xfId="0" applyNumberFormat="1" applyFont="1" applyFill="1" applyAlignment="1">
      <alignment horizontal="center"/>
    </xf>
    <xf numFmtId="168" fontId="72" fillId="0" borderId="0" xfId="0" applyNumberFormat="1" applyFont="1" applyAlignment="1">
      <alignment vertical="center"/>
    </xf>
    <xf numFmtId="0" fontId="39" fillId="0" borderId="34" xfId="0" applyFont="1" applyBorder="1" applyAlignment="1">
      <alignment vertical="center"/>
    </xf>
    <xf numFmtId="0" fontId="73" fillId="24" borderId="0" xfId="0" applyFont="1" applyFill="1" applyAlignment="1">
      <alignment vertical="center"/>
    </xf>
    <xf numFmtId="0" fontId="74" fillId="24" borderId="0" xfId="0" applyFont="1" applyFill="1" applyAlignment="1">
      <alignment horizontal="center" vertical="center"/>
    </xf>
    <xf numFmtId="167" fontId="73" fillId="24" borderId="0" xfId="0" applyNumberFormat="1" applyFont="1" applyFill="1" applyAlignment="1">
      <alignment vertical="center"/>
    </xf>
    <xf numFmtId="14" fontId="75" fillId="24" borderId="0" xfId="0" applyNumberFormat="1" applyFont="1" applyFill="1" applyAlignment="1">
      <alignment vertical="center"/>
    </xf>
    <xf numFmtId="0" fontId="75" fillId="24" borderId="0" xfId="0" applyFont="1" applyFill="1" applyAlignment="1">
      <alignment vertical="center"/>
    </xf>
    <xf numFmtId="167" fontId="75" fillId="24" borderId="0" xfId="0" applyNumberFormat="1" applyFont="1" applyFill="1" applyAlignment="1">
      <alignment vertical="center"/>
    </xf>
    <xf numFmtId="14" fontId="75" fillId="24" borderId="0" xfId="0" applyNumberFormat="1" applyFont="1" applyFill="1" applyAlignment="1">
      <alignment horizontal="right" vertical="center"/>
    </xf>
    <xf numFmtId="0" fontId="73" fillId="24" borderId="0" xfId="0" applyFont="1" applyFill="1"/>
    <xf numFmtId="0" fontId="75" fillId="24" borderId="0" xfId="0" applyFont="1" applyFill="1" applyAlignment="1">
      <alignment horizontal="right" vertical="center"/>
    </xf>
    <xf numFmtId="14" fontId="74" fillId="24" borderId="0" xfId="0" applyNumberFormat="1" applyFont="1" applyFill="1" applyAlignment="1">
      <alignment vertical="center"/>
    </xf>
    <xf numFmtId="0" fontId="74" fillId="24" borderId="0" xfId="0" applyFont="1" applyFill="1" applyAlignment="1">
      <alignment vertical="center"/>
    </xf>
    <xf numFmtId="167" fontId="74" fillId="24" borderId="0" xfId="0" applyNumberFormat="1" applyFont="1" applyFill="1" applyAlignment="1">
      <alignment vertical="center"/>
    </xf>
    <xf numFmtId="0" fontId="76" fillId="24" borderId="0" xfId="0" applyFont="1" applyFill="1" applyAlignment="1">
      <alignment vertical="center"/>
    </xf>
    <xf numFmtId="0" fontId="73" fillId="24" borderId="0" xfId="42" applyFont="1" applyFill="1" applyBorder="1" applyAlignment="1">
      <alignment vertical="center"/>
    </xf>
    <xf numFmtId="2" fontId="74" fillId="24" borderId="0" xfId="0" applyNumberFormat="1" applyFont="1" applyFill="1" applyAlignment="1">
      <alignment vertical="center"/>
    </xf>
    <xf numFmtId="0" fontId="73" fillId="24" borderId="0" xfId="42" applyFont="1" applyFill="1" applyAlignment="1">
      <alignment vertical="center"/>
    </xf>
    <xf numFmtId="0" fontId="73" fillId="0" borderId="0" xfId="0" applyFont="1" applyAlignment="1">
      <alignment vertical="center"/>
    </xf>
    <xf numFmtId="0" fontId="73" fillId="0" borderId="0" xfId="0" applyFont="1"/>
    <xf numFmtId="0" fontId="75" fillId="0" borderId="0" xfId="0" applyFont="1" applyAlignment="1">
      <alignment vertical="center"/>
    </xf>
    <xf numFmtId="0" fontId="4" fillId="2" borderId="0" xfId="0" applyFont="1" applyFill="1" applyAlignment="1">
      <alignment vertical="center"/>
    </xf>
    <xf numFmtId="165" fontId="71" fillId="2" borderId="0" xfId="0" applyNumberFormat="1" applyFont="1" applyFill="1" applyAlignment="1">
      <alignment vertical="center"/>
    </xf>
    <xf numFmtId="165" fontId="4" fillId="2" borderId="0" xfId="0" applyNumberFormat="1" applyFont="1" applyFill="1" applyAlignment="1">
      <alignment vertical="center"/>
    </xf>
    <xf numFmtId="0" fontId="71" fillId="2" borderId="0" xfId="0" applyFont="1" applyFill="1" applyAlignment="1">
      <alignment vertical="center"/>
    </xf>
    <xf numFmtId="4" fontId="54" fillId="20" borderId="0" xfId="0" applyNumberFormat="1" applyFont="1" applyFill="1" applyAlignment="1">
      <alignment vertical="center"/>
    </xf>
    <xf numFmtId="0" fontId="18" fillId="2" borderId="0" xfId="0" applyFont="1" applyFill="1" applyAlignment="1">
      <alignment vertical="top" wrapText="1"/>
    </xf>
    <xf numFmtId="4" fontId="18" fillId="2" borderId="0" xfId="0" applyNumberFormat="1" applyFont="1" applyFill="1" applyAlignment="1">
      <alignment vertical="top" wrapText="1"/>
    </xf>
    <xf numFmtId="0" fontId="18" fillId="6" borderId="0" xfId="0" applyFont="1" applyFill="1" applyAlignment="1">
      <alignment vertical="center" wrapText="1"/>
    </xf>
    <xf numFmtId="0" fontId="18" fillId="6" borderId="0" xfId="0" applyFont="1" applyFill="1" applyAlignment="1">
      <alignment vertical="top" wrapText="1"/>
    </xf>
    <xf numFmtId="165" fontId="77" fillId="2" borderId="0" xfId="0" applyNumberFormat="1" applyFont="1" applyFill="1" applyAlignment="1">
      <alignment vertical="center"/>
    </xf>
    <xf numFmtId="0" fontId="4" fillId="6" borderId="0" xfId="0" applyFont="1" applyFill="1" applyAlignment="1">
      <alignment vertical="center"/>
    </xf>
    <xf numFmtId="0" fontId="78" fillId="6" borderId="0" xfId="0" applyFont="1" applyFill="1" applyAlignment="1">
      <alignment vertical="center"/>
    </xf>
    <xf numFmtId="0" fontId="78" fillId="6" borderId="0" xfId="0" applyFont="1" applyFill="1" applyAlignment="1">
      <alignment horizontal="left" vertical="center" indent="1"/>
    </xf>
    <xf numFmtId="171" fontId="50" fillId="6" borderId="0" xfId="0" applyNumberFormat="1" applyFont="1" applyFill="1" applyAlignment="1">
      <alignment horizontal="right" vertical="center"/>
    </xf>
    <xf numFmtId="168" fontId="54" fillId="6" borderId="0" xfId="0" applyNumberFormat="1" applyFont="1" applyFill="1" applyAlignment="1">
      <alignment vertical="center"/>
    </xf>
    <xf numFmtId="0" fontId="0" fillId="6" borderId="34" xfId="0" applyFill="1" applyBorder="1" applyAlignment="1">
      <alignment vertical="center"/>
    </xf>
    <xf numFmtId="2" fontId="9" fillId="6" borderId="0" xfId="0" applyNumberFormat="1" applyFont="1" applyFill="1" applyAlignment="1">
      <alignment vertical="center"/>
    </xf>
    <xf numFmtId="0" fontId="50" fillId="6" borderId="0" xfId="0" applyFont="1" applyFill="1" applyAlignment="1">
      <alignment vertical="center"/>
    </xf>
    <xf numFmtId="0" fontId="50" fillId="6" borderId="0" xfId="0" applyFont="1" applyFill="1" applyAlignment="1">
      <alignment horizontal="left" vertical="center" indent="1"/>
    </xf>
    <xf numFmtId="0" fontId="0" fillId="6" borderId="0" xfId="0" applyFill="1" applyAlignment="1">
      <alignment vertical="center"/>
    </xf>
    <xf numFmtId="165" fontId="0" fillId="6" borderId="0" xfId="0" applyNumberFormat="1" applyFill="1" applyAlignment="1">
      <alignment vertical="center"/>
    </xf>
    <xf numFmtId="165" fontId="4" fillId="6" borderId="0" xfId="0" applyNumberFormat="1" applyFont="1" applyFill="1" applyAlignment="1">
      <alignment vertical="center"/>
    </xf>
    <xf numFmtId="0" fontId="28" fillId="6" borderId="34" xfId="46" applyFont="1" applyFill="1" applyBorder="1" applyAlignment="1">
      <alignment vertical="center"/>
    </xf>
    <xf numFmtId="0" fontId="50" fillId="6" borderId="0" xfId="0" applyFont="1" applyFill="1"/>
    <xf numFmtId="0" fontId="9" fillId="6" borderId="34" xfId="0" applyFont="1" applyFill="1" applyBorder="1" applyAlignment="1">
      <alignment vertical="center"/>
    </xf>
    <xf numFmtId="0" fontId="18" fillId="6" borderId="0" xfId="0" applyFont="1" applyFill="1" applyAlignment="1">
      <alignment vertical="top"/>
    </xf>
    <xf numFmtId="0" fontId="79" fillId="6" borderId="0" xfId="0" applyFont="1" applyFill="1" applyAlignment="1">
      <alignment vertical="center" wrapText="1"/>
    </xf>
    <xf numFmtId="0" fontId="80" fillId="15" borderId="0" xfId="0" applyFont="1" applyFill="1" applyAlignment="1">
      <alignment vertical="center"/>
    </xf>
    <xf numFmtId="0" fontId="79" fillId="15" borderId="32" xfId="0" applyFont="1" applyFill="1" applyBorder="1" applyAlignment="1">
      <alignment vertical="center"/>
    </xf>
    <xf numFmtId="169" fontId="50" fillId="5" borderId="0" xfId="0" quotePrefix="1" applyNumberFormat="1" applyFont="1" applyFill="1" applyAlignment="1">
      <alignment horizontal="right" vertical="center"/>
    </xf>
    <xf numFmtId="15" fontId="0" fillId="0" borderId="0" xfId="0" applyNumberFormat="1"/>
    <xf numFmtId="44" fontId="5" fillId="21" borderId="0" xfId="1" applyFont="1" applyFill="1" applyAlignment="1">
      <alignment horizontal="center"/>
    </xf>
    <xf numFmtId="0" fontId="18" fillId="6" borderId="38" xfId="0" applyFont="1" applyFill="1" applyBorder="1" applyAlignment="1" applyProtection="1">
      <alignment horizontal="center" vertical="center"/>
      <protection locked="0"/>
    </xf>
    <xf numFmtId="0" fontId="18" fillId="6" borderId="39" xfId="0" applyFont="1" applyFill="1" applyBorder="1" applyAlignment="1" applyProtection="1">
      <alignment horizontal="center" vertical="center"/>
      <protection locked="0"/>
    </xf>
    <xf numFmtId="0" fontId="25" fillId="0" borderId="40" xfId="0" applyFont="1" applyBorder="1" applyAlignment="1">
      <alignment horizontal="center" vertical="center"/>
    </xf>
    <xf numFmtId="0" fontId="25" fillId="0" borderId="0" xfId="0" applyFont="1" applyAlignment="1">
      <alignment horizontal="center" vertical="center"/>
    </xf>
    <xf numFmtId="44" fontId="12" fillId="21" borderId="38" xfId="1" applyFont="1" applyFill="1" applyBorder="1" applyAlignment="1">
      <alignment horizontal="center"/>
    </xf>
    <xf numFmtId="44" fontId="0" fillId="0" borderId="0" xfId="0" applyNumberFormat="1"/>
    <xf numFmtId="44" fontId="12" fillId="21" borderId="40" xfId="1" applyFont="1" applyFill="1" applyBorder="1" applyAlignment="1">
      <alignment horizontal="center"/>
    </xf>
    <xf numFmtId="0" fontId="1" fillId="0" borderId="43" xfId="0" applyFont="1" applyBorder="1" applyAlignment="1">
      <alignment horizontal="center" vertical="center"/>
    </xf>
    <xf numFmtId="0" fontId="18" fillId="6" borderId="42" xfId="0" applyFont="1" applyFill="1" applyBorder="1" applyAlignment="1" applyProtection="1">
      <alignment horizontal="center" vertical="center"/>
      <protection locked="0"/>
    </xf>
    <xf numFmtId="44" fontId="12" fillId="21" borderId="42" xfId="1" applyFont="1" applyFill="1" applyBorder="1" applyAlignment="1">
      <alignment horizontal="center"/>
    </xf>
    <xf numFmtId="44" fontId="0" fillId="0" borderId="44" xfId="1" applyFont="1" applyBorder="1" applyAlignment="1">
      <alignment horizontal="center"/>
    </xf>
    <xf numFmtId="0" fontId="5" fillId="6" borderId="19" xfId="0" applyFont="1" applyFill="1" applyBorder="1" applyAlignment="1">
      <alignment horizontal="center" vertical="center"/>
    </xf>
    <xf numFmtId="44" fontId="5" fillId="21" borderId="19" xfId="1" applyFont="1" applyFill="1" applyBorder="1" applyAlignment="1">
      <alignment horizontal="center"/>
    </xf>
    <xf numFmtId="0" fontId="0" fillId="0" borderId="41" xfId="0" applyBorder="1"/>
    <xf numFmtId="44" fontId="30" fillId="0" borderId="0" xfId="0" applyNumberFormat="1" applyFont="1" applyAlignment="1">
      <alignment horizontal="center"/>
    </xf>
    <xf numFmtId="44" fontId="0" fillId="0" borderId="0" xfId="0" applyNumberFormat="1" applyAlignment="1">
      <alignment horizontal="center"/>
    </xf>
    <xf numFmtId="0" fontId="7" fillId="0" borderId="0" xfId="0" applyFont="1" applyAlignment="1">
      <alignment horizontal="left" wrapText="1"/>
    </xf>
    <xf numFmtId="172" fontId="54" fillId="6" borderId="0" xfId="0" applyNumberFormat="1" applyFont="1" applyFill="1" applyAlignment="1">
      <alignment vertical="center"/>
    </xf>
    <xf numFmtId="171" fontId="0" fillId="0" borderId="0" xfId="0" applyNumberFormat="1" applyAlignment="1">
      <alignment horizontal="center"/>
    </xf>
    <xf numFmtId="0" fontId="1" fillId="18" borderId="0" xfId="0" applyFont="1" applyFill="1" applyAlignment="1">
      <alignment horizontal="center"/>
    </xf>
    <xf numFmtId="0" fontId="18" fillId="6" borderId="45" xfId="0" applyFont="1" applyFill="1" applyBorder="1" applyAlignment="1" applyProtection="1">
      <alignment horizontal="center" vertical="center"/>
      <protection locked="0"/>
    </xf>
    <xf numFmtId="0" fontId="0" fillId="0" borderId="0" xfId="0" applyAlignment="1">
      <alignment vertical="top" wrapText="1"/>
    </xf>
    <xf numFmtId="174" fontId="0" fillId="0" borderId="0" xfId="0" applyNumberFormat="1" applyAlignment="1">
      <alignment horizontal="center"/>
    </xf>
    <xf numFmtId="44" fontId="4" fillId="0" borderId="0" xfId="1" applyFont="1" applyFill="1" applyBorder="1" applyAlignment="1">
      <alignment horizontal="center"/>
    </xf>
    <xf numFmtId="0" fontId="7" fillId="4" borderId="0" xfId="0" applyFont="1" applyFill="1" applyAlignment="1">
      <alignment wrapText="1"/>
    </xf>
    <xf numFmtId="44" fontId="0" fillId="25" borderId="0" xfId="1" applyFont="1" applyFill="1" applyBorder="1" applyAlignment="1">
      <alignment horizontal="center"/>
    </xf>
    <xf numFmtId="44" fontId="5" fillId="25" borderId="0" xfId="1" applyFont="1" applyFill="1" applyAlignment="1">
      <alignment horizontal="center"/>
    </xf>
    <xf numFmtId="165" fontId="28" fillId="5" borderId="0" xfId="0" applyNumberFormat="1" applyFont="1" applyFill="1" applyAlignment="1">
      <alignment vertical="center"/>
    </xf>
    <xf numFmtId="0" fontId="81" fillId="0" borderId="0" xfId="0" applyFont="1" applyAlignment="1">
      <alignment horizontal="center"/>
    </xf>
    <xf numFmtId="44" fontId="81" fillId="0" borderId="0" xfId="1" applyFont="1" applyFill="1" applyBorder="1" applyAlignment="1">
      <alignment horizontal="center"/>
    </xf>
    <xf numFmtId="0" fontId="4" fillId="0" borderId="0" xfId="0" applyFont="1" applyAlignment="1" applyProtection="1">
      <alignment horizontal="center" vertical="center"/>
      <protection locked="0"/>
    </xf>
    <xf numFmtId="2" fontId="0" fillId="0" borderId="0" xfId="1" applyNumberFormat="1" applyFont="1" applyAlignment="1">
      <alignment vertical="center"/>
    </xf>
    <xf numFmtId="2" fontId="0" fillId="0" borderId="0" xfId="1" applyNumberFormat="1" applyFont="1"/>
    <xf numFmtId="0" fontId="0" fillId="0" borderId="0" xfId="0" applyAlignment="1">
      <alignment horizontal="left" vertical="center"/>
    </xf>
    <xf numFmtId="2" fontId="0" fillId="0" borderId="0" xfId="1" applyNumberFormat="1" applyFont="1" applyBorder="1"/>
    <xf numFmtId="49" fontId="0" fillId="0" borderId="0" xfId="0" applyNumberFormat="1"/>
    <xf numFmtId="2" fontId="0" fillId="0" borderId="0" xfId="1" applyNumberFormat="1" applyFont="1" applyFill="1" applyAlignment="1">
      <alignment vertical="center"/>
    </xf>
    <xf numFmtId="2" fontId="0" fillId="0" borderId="0" xfId="0" applyNumberFormat="1"/>
    <xf numFmtId="9" fontId="0" fillId="0" borderId="0" xfId="20" applyFont="1" applyFill="1"/>
    <xf numFmtId="2" fontId="0" fillId="0" borderId="0" xfId="1" applyNumberFormat="1" applyFont="1" applyBorder="1" applyAlignment="1">
      <alignment vertical="center"/>
    </xf>
    <xf numFmtId="2" fontId="0" fillId="0" borderId="0" xfId="0" applyNumberFormat="1" applyAlignment="1">
      <alignment vertical="center"/>
    </xf>
    <xf numFmtId="49" fontId="18" fillId="24" borderId="0" xfId="0" applyNumberFormat="1" applyFont="1" applyFill="1" applyAlignment="1">
      <alignment horizontal="left" vertical="center"/>
    </xf>
    <xf numFmtId="0" fontId="18" fillId="24" borderId="0" xfId="0" applyFont="1" applyFill="1" applyAlignment="1">
      <alignment vertical="center"/>
    </xf>
    <xf numFmtId="167" fontId="79" fillId="24" borderId="0" xfId="0" applyNumberFormat="1" applyFont="1" applyFill="1" applyAlignment="1">
      <alignment vertical="center"/>
    </xf>
    <xf numFmtId="165" fontId="4" fillId="0" borderId="0" xfId="0" applyNumberFormat="1" applyFont="1" applyAlignment="1">
      <alignment vertical="center"/>
    </xf>
    <xf numFmtId="171" fontId="78" fillId="0" borderId="0" xfId="0" applyNumberFormat="1" applyFont="1" applyAlignment="1">
      <alignment horizontal="right" vertical="center"/>
    </xf>
    <xf numFmtId="0" fontId="4" fillId="0" borderId="0" xfId="0" applyFont="1" applyAlignment="1">
      <alignment vertical="center"/>
    </xf>
    <xf numFmtId="0" fontId="78" fillId="0" borderId="0" xfId="0" applyFont="1" applyAlignment="1">
      <alignment vertical="center"/>
    </xf>
    <xf numFmtId="0" fontId="78" fillId="0" borderId="0" xfId="0" applyFont="1" applyAlignment="1">
      <alignment horizontal="left" vertical="center" indent="1"/>
    </xf>
    <xf numFmtId="171" fontId="0" fillId="0" borderId="0" xfId="0" quotePrefix="1" applyNumberFormat="1" applyAlignment="1">
      <alignment horizontal="center"/>
    </xf>
    <xf numFmtId="0" fontId="0" fillId="0" borderId="0" xfId="0" quotePrefix="1" applyAlignment="1">
      <alignment vertical="center"/>
    </xf>
    <xf numFmtId="0" fontId="0" fillId="23" borderId="0" xfId="0" applyFill="1" applyAlignment="1">
      <alignment horizontal="center"/>
    </xf>
    <xf numFmtId="0" fontId="20" fillId="0" borderId="0" xfId="0" applyFont="1" applyAlignment="1">
      <alignment horizontal="center" vertical="center"/>
    </xf>
    <xf numFmtId="7" fontId="23" fillId="11" borderId="0" xfId="1" applyNumberFormat="1" applyFont="1" applyFill="1" applyBorder="1" applyAlignment="1">
      <alignment horizontal="center" vertical="center"/>
    </xf>
    <xf numFmtId="0" fontId="37" fillId="11" borderId="19" xfId="0" applyFont="1" applyFill="1" applyBorder="1" applyAlignment="1">
      <alignment horizontal="center" vertical="center"/>
    </xf>
    <xf numFmtId="0" fontId="24" fillId="0" borderId="0" xfId="0" applyFont="1" applyAlignment="1">
      <alignment horizontal="center" vertical="center"/>
    </xf>
    <xf numFmtId="0" fontId="24" fillId="0" borderId="0" xfId="0" applyFont="1" applyAlignment="1">
      <alignment horizontal="center" vertical="center" wrapText="1"/>
    </xf>
    <xf numFmtId="0" fontId="11" fillId="0" borderId="25" xfId="0" applyFont="1" applyBorder="1" applyAlignment="1">
      <alignment horizontal="center" vertical="center" wrapText="1"/>
    </xf>
    <xf numFmtId="0" fontId="0" fillId="0" borderId="22" xfId="0" applyBorder="1" applyAlignment="1">
      <alignment horizontal="center" vertical="center"/>
    </xf>
    <xf numFmtId="0" fontId="11" fillId="0" borderId="22" xfId="0" applyFont="1" applyBorder="1" applyAlignment="1">
      <alignment horizontal="center" vertical="center"/>
    </xf>
    <xf numFmtId="0" fontId="11" fillId="0" borderId="21" xfId="0" applyFont="1" applyBorder="1" applyAlignment="1">
      <alignment horizontal="center" vertical="center"/>
    </xf>
    <xf numFmtId="0" fontId="7" fillId="0" borderId="0" xfId="0" applyFont="1" applyAlignment="1">
      <alignment horizontal="center" wrapText="1"/>
    </xf>
    <xf numFmtId="0" fontId="59" fillId="0" borderId="0" xfId="0" applyFont="1" applyAlignment="1">
      <alignment horizontal="center" vertical="center" wrapText="1"/>
    </xf>
    <xf numFmtId="0" fontId="33" fillId="0" borderId="17" xfId="0" applyFont="1" applyBorder="1" applyAlignment="1">
      <alignment horizontal="center" vertical="center" wrapText="1"/>
    </xf>
    <xf numFmtId="0" fontId="7" fillId="3" borderId="0" xfId="0" applyFont="1" applyFill="1" applyAlignment="1">
      <alignment horizontal="left" wrapText="1"/>
    </xf>
    <xf numFmtId="0" fontId="7" fillId="3" borderId="0" xfId="0" applyFont="1" applyFill="1" applyAlignment="1">
      <alignment horizontal="left"/>
    </xf>
    <xf numFmtId="0" fontId="45" fillId="0" borderId="16" xfId="0" applyFont="1" applyBorder="1" applyAlignment="1">
      <alignment horizontal="center" vertical="top" wrapText="1"/>
    </xf>
    <xf numFmtId="0" fontId="45" fillId="0" borderId="17" xfId="0" applyFont="1" applyBorder="1" applyAlignment="1">
      <alignment horizontal="center" vertical="top" wrapText="1"/>
    </xf>
    <xf numFmtId="0" fontId="45" fillId="0" borderId="18" xfId="0" applyFont="1" applyBorder="1" applyAlignment="1">
      <alignment horizontal="center" vertical="top" wrapText="1"/>
    </xf>
    <xf numFmtId="0" fontId="7" fillId="0" borderId="0" xfId="0" applyFont="1" applyAlignment="1">
      <alignment horizontal="center"/>
    </xf>
    <xf numFmtId="0" fontId="46" fillId="0" borderId="0" xfId="0" applyFont="1" applyAlignment="1">
      <alignment horizontal="center" vertical="center"/>
    </xf>
    <xf numFmtId="0" fontId="0" fillId="0" borderId="0" xfId="0" applyAlignment="1">
      <alignment horizontal="center"/>
    </xf>
    <xf numFmtId="0" fontId="62" fillId="22" borderId="0" xfId="0" applyFont="1" applyFill="1" applyAlignment="1">
      <alignment horizontal="center" vertical="center" wrapText="1"/>
    </xf>
    <xf numFmtId="0" fontId="62" fillId="22" borderId="0" xfId="0" applyFont="1" applyFill="1" applyAlignment="1">
      <alignment horizontal="center" vertical="center"/>
    </xf>
  </cellXfs>
  <cellStyles count="47">
    <cellStyle name="40% - Accent1 2" xfId="17" xr:uid="{00000000-0005-0000-0000-000000000000}"/>
    <cellStyle name="40% - Accent1 2 2" xfId="37" xr:uid="{00000000-0005-0000-0000-000001000000}"/>
    <cellStyle name="Bad" xfId="42" builtinId="27"/>
    <cellStyle name="Comma 2" xfId="3" xr:uid="{00000000-0005-0000-0000-000003000000}"/>
    <cellStyle name="Currency" xfId="1" builtinId="4"/>
    <cellStyle name="Currency [0]" xfId="45" builtinId="7"/>
    <cellStyle name="Currency 2" xfId="5" xr:uid="{00000000-0005-0000-0000-000005000000}"/>
    <cellStyle name="Currency 2 2" xfId="18" xr:uid="{00000000-0005-0000-0000-000006000000}"/>
    <cellStyle name="Currency 2 2 2" xfId="38" xr:uid="{00000000-0005-0000-0000-000007000000}"/>
    <cellStyle name="Currency 2 3" xfId="30" xr:uid="{00000000-0005-0000-0000-000008000000}"/>
    <cellStyle name="Currency 2 4" xfId="34" xr:uid="{00000000-0005-0000-0000-000009000000}"/>
    <cellStyle name="Currency 2 5" xfId="22" xr:uid="{00000000-0005-0000-0000-00000A000000}"/>
    <cellStyle name="Currency 3" xfId="6" xr:uid="{00000000-0005-0000-0000-00000B000000}"/>
    <cellStyle name="Currency 3 2" xfId="21" xr:uid="{00000000-0005-0000-0000-00000C000000}"/>
    <cellStyle name="Currency 4" xfId="7" xr:uid="{00000000-0005-0000-0000-00000D000000}"/>
    <cellStyle name="Currency 4 2" xfId="23" xr:uid="{00000000-0005-0000-0000-00000E000000}"/>
    <cellStyle name="Currency 5" xfId="4" xr:uid="{00000000-0005-0000-0000-00000F000000}"/>
    <cellStyle name="Euro" xfId="8" xr:uid="{00000000-0005-0000-0000-000011000000}"/>
    <cellStyle name="Neutral" xfId="46" builtinId="28"/>
    <cellStyle name="Normal" xfId="0" builtinId="0"/>
    <cellStyle name="Normal 2" xfId="9" xr:uid="{00000000-0005-0000-0000-000014000000}"/>
    <cellStyle name="Normal 3" xfId="10" xr:uid="{00000000-0005-0000-0000-000015000000}"/>
    <cellStyle name="Normal 3 2" xfId="19" xr:uid="{00000000-0005-0000-0000-000016000000}"/>
    <cellStyle name="Normal 3 2 2" xfId="39" xr:uid="{00000000-0005-0000-0000-000017000000}"/>
    <cellStyle name="Normal 3 3" xfId="31" xr:uid="{00000000-0005-0000-0000-000018000000}"/>
    <cellStyle name="Normal 3 4" xfId="35" xr:uid="{00000000-0005-0000-0000-000019000000}"/>
    <cellStyle name="Normal 3 5" xfId="24" xr:uid="{00000000-0005-0000-0000-00001A000000}"/>
    <cellStyle name="Normal 4" xfId="11" xr:uid="{00000000-0005-0000-0000-00001B000000}"/>
    <cellStyle name="Normal 4 2" xfId="33" xr:uid="{00000000-0005-0000-0000-00001C000000}"/>
    <cellStyle name="Normal 4 3" xfId="41" xr:uid="{00000000-0005-0000-0000-00001D000000}"/>
    <cellStyle name="Normal 4 4" xfId="25" xr:uid="{00000000-0005-0000-0000-00001E000000}"/>
    <cellStyle name="Normal 5" xfId="12" xr:uid="{00000000-0005-0000-0000-00001F000000}"/>
    <cellStyle name="Normal 5 2" xfId="26" xr:uid="{00000000-0005-0000-0000-000020000000}"/>
    <cellStyle name="Normal 6" xfId="2" xr:uid="{00000000-0005-0000-0000-000021000000}"/>
    <cellStyle name="Normal 6 2" xfId="29" xr:uid="{00000000-0005-0000-0000-000022000000}"/>
    <cellStyle name="Normal 6 2 2" xfId="43" xr:uid="{00000000-0005-0000-0000-000023000000}"/>
    <cellStyle name="Normal 7" xfId="16" xr:uid="{00000000-0005-0000-0000-000024000000}"/>
    <cellStyle name="Normal 7 2" xfId="44" xr:uid="{00000000-0005-0000-0000-000025000000}"/>
    <cellStyle name="Percent 2" xfId="13" xr:uid="{00000000-0005-0000-0000-000026000000}"/>
    <cellStyle name="Percent 2 2" xfId="20" xr:uid="{00000000-0005-0000-0000-000027000000}"/>
    <cellStyle name="Percent 2 2 2" xfId="40" xr:uid="{00000000-0005-0000-0000-000028000000}"/>
    <cellStyle name="Percent 2 3" xfId="32" xr:uid="{00000000-0005-0000-0000-000029000000}"/>
    <cellStyle name="Percent 2 4" xfId="36" xr:uid="{00000000-0005-0000-0000-00002A000000}"/>
    <cellStyle name="Percent 2 5" xfId="27" xr:uid="{00000000-0005-0000-0000-00002B000000}"/>
    <cellStyle name="Percent 3" xfId="14" xr:uid="{00000000-0005-0000-0000-00002C000000}"/>
    <cellStyle name="Percent 4" xfId="15" xr:uid="{00000000-0005-0000-0000-00002D000000}"/>
    <cellStyle name="Percent 4 2" xfId="28" xr:uid="{00000000-0005-0000-0000-00002E000000}"/>
  </cellStyles>
  <dxfs count="81">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relativeIndent="0" justifyLastLine="0" shrinkToFit="0" readingOrder="0"/>
    </dxf>
    <dxf>
      <font>
        <b val="0"/>
      </font>
      <alignment horizontal="center" vertical="center" textRotation="0" wrapText="0" indent="0" justifyLastLine="0" shrinkToFit="0" readingOrder="0"/>
    </dxf>
    <dxf>
      <alignment horizontal="center" vertical="bottom" textRotation="0" indent="0" justifyLastLine="0" shrinkToFit="0" readingOrder="0"/>
    </dxf>
    <dxf>
      <alignment horizontal="left" vertical="bottom" textRotation="0" indent="0" justifyLastLine="0" shrinkToFit="0" readingOrder="0"/>
    </dxf>
    <dxf>
      <numFmt numFmtId="0" formatCode="General"/>
      <alignment horizontal="center" vertical="bottom" textRotation="0" wrapText="0" indent="0" justifyLastLine="0" shrinkToFit="0" readingOrder="0"/>
    </dxf>
    <dxf>
      <fill>
        <patternFill patternType="none">
          <fgColor indexed="64"/>
          <bgColor indexed="65"/>
        </patternFill>
      </fill>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relativeIndent="0" justifyLastLine="0" shrinkToFit="0" readingOrder="0"/>
    </dxf>
    <dxf>
      <font>
        <b val="0"/>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left"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5"/>
        </patternFill>
      </fill>
      <alignment horizontal="center" vertical="bottom" textRotation="0" wrapText="0" relative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protection locked="0" hidden="0"/>
    </dxf>
    <dxf>
      <font>
        <b val="0"/>
      </font>
      <alignment horizontal="center" vertical="center" textRotation="0" wrapText="0" indent="0" justifyLastLine="0" shrinkToFit="0" readingOrder="0"/>
    </dxf>
    <dxf>
      <alignment horizontal="center" vertical="bottom" textRotation="0" wrapText="0" indent="0" justifyLastLine="0" shrinkToFit="0" readingOrder="0"/>
    </dxf>
    <dxf>
      <alignment horizontal="left" vertical="bottom" textRotation="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34" formatCode="_(&quot;$&quot;* #,##0.00_);_(&quot;$&quot;* \(#,##0.00\);_(&quot;$&quot;* &quot;-&quot;??_);_(@_)"/>
    </dxf>
    <dxf>
      <font>
        <b val="0"/>
        <i val="0"/>
        <strike val="0"/>
        <condense val="0"/>
        <extend val="0"/>
        <outline val="0"/>
        <shadow val="0"/>
        <u val="none"/>
        <vertAlign val="baseline"/>
        <sz val="11"/>
        <color theme="1"/>
        <name val="Calibri"/>
        <scheme val="minor"/>
      </font>
      <fill>
        <patternFill patternType="solid">
          <fgColor indexed="64"/>
          <bgColor theme="5"/>
        </patternFill>
      </fill>
      <alignment horizontal="center" vertical="bottom" textRotation="0" wrapText="0" relativeIndent="0" justifyLastLine="0" shrinkToFit="0" readingOrder="0"/>
      <border diagonalUp="0" diagonalDown="0">
        <left style="thin">
          <color theme="0" tint="-0.249977111117893"/>
        </left>
        <right style="thin">
          <color theme="0" tint="-0.249977111117893"/>
        </right>
        <top style="thin">
          <color theme="0" tint="-0.249977111117893"/>
        </top>
        <bottom/>
        <vertical/>
        <horizontal/>
      </border>
      <protection locked="0" hidden="0"/>
    </dxf>
    <dxf>
      <font>
        <b val="0"/>
      </font>
      <alignment horizontal="center" vertical="center"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5"/>
        </patternFill>
      </fill>
      <alignment horizontal="center" vertical="bottom" textRotation="0" wrapText="0" relativeIndent="0" justifyLastLine="0" shrinkToFit="0" readingOrder="0"/>
      <protection locked="0" hidden="0"/>
    </dxf>
    <dxf>
      <font>
        <b val="0"/>
      </font>
      <alignment horizontal="center" vertical="center"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34" formatCode="_(&quot;$&quot;* #,##0.00_);_(&quot;$&quot;* \(#,##0.00\);_(&quot;$&quot;* &quot;-&quot;??_);_(@_)"/>
    </dxf>
    <dxf>
      <font>
        <b val="0"/>
      </font>
      <alignment horizontal="center" vertical="center" textRotation="0" wrapText="0" indent="0" justifyLastLine="0" shrinkToFit="0" readingOrder="0"/>
    </dxf>
    <dxf>
      <alignment horizontal="center" vertical="bottom" textRotation="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left/>
        <right style="thin">
          <color theme="0" tint="-0.249977111117893"/>
        </right>
        <top/>
        <bottom/>
      </border>
    </dxf>
    <dxf>
      <font>
        <b val="0"/>
      </font>
      <alignment horizontal="center" vertical="center" textRotation="0" wrapText="0" indent="0" justifyLastLine="0" shrinkToFit="0" readingOrder="0"/>
    </dxf>
    <dxf>
      <alignment horizontal="center" vertical="bottom" textRotation="0" wrapText="0" relativeIndent="0" justifyLastLine="0" shrinkToFit="0" readingOrder="0"/>
    </dxf>
    <dxf>
      <alignment horizontal="left"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alignment horizontal="center" vertical="bottom" textRotation="0" wrapText="0" relativeIndent="0" justifyLastLine="0" shrinkToFit="0" readingOrder="0"/>
    </dxf>
    <dxf>
      <font>
        <b/>
      </font>
      <alignment horizontal="center" vertical="center"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alignment horizontal="center" vertical="bottom" textRotation="0" wrapText="0" indent="0" justifyLastLine="0" shrinkToFit="0" readingOrder="0"/>
    </dxf>
    <dxf>
      <alignment horizontal="center" vertical="bottom" textRotation="0" wrapText="0" indent="0" justifyLastLine="0" shrinkToFit="0" readingOrder="0"/>
    </dxf>
    <dxf>
      <font>
        <b/>
      </font>
      <alignment horizontal="center" vertical="center" textRotation="0" wrapText="0" indent="0" justifyLastLine="0" shrinkToFit="0" readingOrder="0"/>
    </dxf>
    <dxf>
      <numFmt numFmtId="0" formatCode="General"/>
      <alignment horizontal="center" vertical="bottom" textRotation="0" wrapText="0" indent="0" justifyLastLine="0" shrinkToFit="0" readingOrder="0"/>
    </dxf>
    <dxf>
      <font>
        <b val="0"/>
      </font>
      <numFmt numFmtId="34" formatCode="_(&quot;$&quot;* #,##0.00_);_(&quot;$&quot;* \(#,##0.00\);_(&quot;$&quot;* &quot;-&quot;??_);_(@_)"/>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dxf>
    <dxf>
      <alignment horizontal="center" vertical="bottom" textRotation="0" wrapText="0" indent="0" justifyLastLine="0" shrinkToFit="0" readingOrder="0"/>
    </dxf>
    <dxf>
      <font>
        <b/>
      </font>
      <alignment horizontal="center" vertical="center" textRotation="0" wrapText="0" indent="0" justifyLastLine="0" shrinkToFit="0" readingOrder="0"/>
    </dxf>
    <dxf>
      <numFmt numFmtId="0" formatCode="General"/>
      <alignment horizontal="center" vertical="bottom" textRotation="0" wrapText="0" indent="0" justifyLastLine="0" shrinkToFit="0" readingOrder="0"/>
    </dxf>
    <dxf>
      <fill>
        <patternFill>
          <bgColor theme="6"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C00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8" Type="http://schemas.openxmlformats.org/officeDocument/2006/relationships/hyperlink" Target="#Menu!A1"/><Relationship Id="rId13" Type="http://schemas.openxmlformats.org/officeDocument/2006/relationships/image" Target="../media/image151.png"/><Relationship Id="rId3" Type="http://schemas.openxmlformats.org/officeDocument/2006/relationships/image" Target="../media/image144.png"/><Relationship Id="rId7" Type="http://schemas.openxmlformats.org/officeDocument/2006/relationships/image" Target="../media/image148.jpeg"/><Relationship Id="rId12" Type="http://schemas.openxmlformats.org/officeDocument/2006/relationships/image" Target="../media/image150.jpeg"/><Relationship Id="rId2" Type="http://schemas.openxmlformats.org/officeDocument/2006/relationships/image" Target="../media/image143.png"/><Relationship Id="rId1" Type="http://schemas.openxmlformats.org/officeDocument/2006/relationships/image" Target="../media/image142.jpeg"/><Relationship Id="rId6" Type="http://schemas.openxmlformats.org/officeDocument/2006/relationships/image" Target="../media/image147.jpeg"/><Relationship Id="rId11" Type="http://schemas.openxmlformats.org/officeDocument/2006/relationships/image" Target="../media/image149.jpeg"/><Relationship Id="rId5" Type="http://schemas.openxmlformats.org/officeDocument/2006/relationships/image" Target="../media/image146.png"/><Relationship Id="rId10" Type="http://schemas.openxmlformats.org/officeDocument/2006/relationships/hyperlink" Target="#'HANGING MATERIAL'!H4"/><Relationship Id="rId4" Type="http://schemas.openxmlformats.org/officeDocument/2006/relationships/image" Target="../media/image145.png"/><Relationship Id="rId9" Type="http://schemas.openxmlformats.org/officeDocument/2006/relationships/hyperlink" Target="#BOM!A1"/><Relationship Id="rId14" Type="http://schemas.openxmlformats.org/officeDocument/2006/relationships/image" Target="../media/image15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57.png"/><Relationship Id="rId13" Type="http://schemas.openxmlformats.org/officeDocument/2006/relationships/hyperlink" Target="#'Tool Box Contents'!A1"/><Relationship Id="rId18" Type="http://schemas.openxmlformats.org/officeDocument/2006/relationships/image" Target="../media/image166.jpeg"/><Relationship Id="rId3" Type="http://schemas.openxmlformats.org/officeDocument/2006/relationships/image" Target="../media/image155.jpeg"/><Relationship Id="rId7" Type="http://schemas.openxmlformats.org/officeDocument/2006/relationships/image" Target="../media/image156.emf"/><Relationship Id="rId12" Type="http://schemas.openxmlformats.org/officeDocument/2006/relationships/image" Target="../media/image161.png"/><Relationship Id="rId17" Type="http://schemas.openxmlformats.org/officeDocument/2006/relationships/image" Target="../media/image165.png"/><Relationship Id="rId2" Type="http://schemas.openxmlformats.org/officeDocument/2006/relationships/image" Target="../media/image154.emf"/><Relationship Id="rId16" Type="http://schemas.openxmlformats.org/officeDocument/2006/relationships/image" Target="../media/image164.png"/><Relationship Id="rId20" Type="http://schemas.openxmlformats.org/officeDocument/2006/relationships/image" Target="../media/image168.jpeg"/><Relationship Id="rId1" Type="http://schemas.openxmlformats.org/officeDocument/2006/relationships/image" Target="../media/image153.emf"/><Relationship Id="rId6" Type="http://schemas.openxmlformats.org/officeDocument/2006/relationships/hyperlink" Target="#TOOLS!H4"/><Relationship Id="rId11" Type="http://schemas.openxmlformats.org/officeDocument/2006/relationships/image" Target="../media/image160.jpeg"/><Relationship Id="rId5" Type="http://schemas.openxmlformats.org/officeDocument/2006/relationships/hyperlink" Target="#BOM!A1"/><Relationship Id="rId15" Type="http://schemas.openxmlformats.org/officeDocument/2006/relationships/image" Target="../media/image163.png"/><Relationship Id="rId10" Type="http://schemas.openxmlformats.org/officeDocument/2006/relationships/image" Target="../media/image159.emf"/><Relationship Id="rId19" Type="http://schemas.openxmlformats.org/officeDocument/2006/relationships/image" Target="../media/image167.jpeg"/><Relationship Id="rId4" Type="http://schemas.openxmlformats.org/officeDocument/2006/relationships/hyperlink" Target="#Menu!A1"/><Relationship Id="rId9" Type="http://schemas.openxmlformats.org/officeDocument/2006/relationships/image" Target="../media/image158.png"/><Relationship Id="rId14" Type="http://schemas.openxmlformats.org/officeDocument/2006/relationships/image" Target="../media/image162.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73.png"/><Relationship Id="rId13" Type="http://schemas.openxmlformats.org/officeDocument/2006/relationships/image" Target="../media/image178.jpeg"/><Relationship Id="rId3" Type="http://schemas.openxmlformats.org/officeDocument/2006/relationships/image" Target="../media/image171.jpeg"/><Relationship Id="rId7" Type="http://schemas.openxmlformats.org/officeDocument/2006/relationships/image" Target="../media/image172.jpeg"/><Relationship Id="rId12" Type="http://schemas.openxmlformats.org/officeDocument/2006/relationships/image" Target="../media/image177.png"/><Relationship Id="rId2" Type="http://schemas.openxmlformats.org/officeDocument/2006/relationships/image" Target="../media/image170.jpeg"/><Relationship Id="rId1" Type="http://schemas.openxmlformats.org/officeDocument/2006/relationships/image" Target="../media/image169.jpeg"/><Relationship Id="rId6" Type="http://schemas.openxmlformats.org/officeDocument/2006/relationships/hyperlink" Target="#'ACCESSORIES, HOSES'!H4"/><Relationship Id="rId11" Type="http://schemas.openxmlformats.org/officeDocument/2006/relationships/image" Target="../media/image176.png"/><Relationship Id="rId5" Type="http://schemas.openxmlformats.org/officeDocument/2006/relationships/hyperlink" Target="#BOM!A1"/><Relationship Id="rId10" Type="http://schemas.openxmlformats.org/officeDocument/2006/relationships/image" Target="../media/image175.png"/><Relationship Id="rId4" Type="http://schemas.openxmlformats.org/officeDocument/2006/relationships/hyperlink" Target="#Menu!A1"/><Relationship Id="rId9" Type="http://schemas.openxmlformats.org/officeDocument/2006/relationships/image" Target="../media/image17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79.png"/><Relationship Id="rId2" Type="http://schemas.openxmlformats.org/officeDocument/2006/relationships/hyperlink" Target="#BOM!A1"/><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2" Type="http://schemas.openxmlformats.org/officeDocument/2006/relationships/image" Target="../media/image181.png"/><Relationship Id="rId1" Type="http://schemas.openxmlformats.org/officeDocument/2006/relationships/image" Target="../media/image180.png"/></Relationships>
</file>

<file path=xl/drawings/_rels/drawing15.xml.rels><?xml version="1.0" encoding="UTF-8" standalone="yes"?>
<Relationships xmlns="http://schemas.openxmlformats.org/package/2006/relationships"><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3" Type="http://schemas.openxmlformats.org/officeDocument/2006/relationships/hyperlink" Target="#QDrops!A1"/><Relationship Id="rId2" Type="http://schemas.openxmlformats.org/officeDocument/2006/relationships/hyperlink" Target="#Menu!A1"/><Relationship Id="rId1" Type="http://schemas.openxmlformats.org/officeDocument/2006/relationships/image" Target="../media/image182.png"/><Relationship Id="rId4" Type="http://schemas.openxmlformats.org/officeDocument/2006/relationships/image" Target="../media/image183.png"/></Relationships>
</file>

<file path=xl/drawings/_rels/drawing2.xml.rels><?xml version="1.0" encoding="UTF-8" standalone="yes"?>
<Relationships xmlns="http://schemas.openxmlformats.org/package/2006/relationships"><Relationship Id="rId26" Type="http://schemas.openxmlformats.org/officeDocument/2006/relationships/hyperlink" Target="#'Straight Connection'!H57"/><Relationship Id="rId21" Type="http://schemas.openxmlformats.org/officeDocument/2006/relationships/image" Target="../media/image12.png"/><Relationship Id="rId34" Type="http://schemas.openxmlformats.org/officeDocument/2006/relationships/image" Target="../media/image23.png"/><Relationship Id="rId42" Type="http://schemas.openxmlformats.org/officeDocument/2006/relationships/hyperlink" Target="#'VALVES &amp; FLANGES'!H55"/><Relationship Id="rId47" Type="http://schemas.openxmlformats.org/officeDocument/2006/relationships/hyperlink" Target="#TOOLS!A1"/><Relationship Id="rId50" Type="http://schemas.openxmlformats.org/officeDocument/2006/relationships/image" Target="../media/image34.png"/><Relationship Id="rId55" Type="http://schemas.openxmlformats.org/officeDocument/2006/relationships/image" Target="../media/image38.png"/><Relationship Id="rId63" Type="http://schemas.openxmlformats.org/officeDocument/2006/relationships/image" Target="../media/image44.png"/><Relationship Id="rId68" Type="http://schemas.openxmlformats.org/officeDocument/2006/relationships/image" Target="../media/image49.png"/><Relationship Id="rId76" Type="http://schemas.openxmlformats.org/officeDocument/2006/relationships/image" Target="../media/image56.jpeg"/><Relationship Id="rId84" Type="http://schemas.openxmlformats.org/officeDocument/2006/relationships/image" Target="../media/image61.png"/><Relationship Id="rId89" Type="http://schemas.openxmlformats.org/officeDocument/2006/relationships/hyperlink" Target="#'QDrop Fitting Info'!A1"/><Relationship Id="rId97" Type="http://schemas.openxmlformats.org/officeDocument/2006/relationships/image" Target="../media/image71.jpeg"/><Relationship Id="rId7" Type="http://schemas.openxmlformats.org/officeDocument/2006/relationships/hyperlink" Target="#'NPT Adapters'!A1"/><Relationship Id="rId71" Type="http://schemas.openxmlformats.org/officeDocument/2006/relationships/image" Target="../media/image52.png"/><Relationship Id="rId92" Type="http://schemas.openxmlformats.org/officeDocument/2006/relationships/image" Target="../media/image66.png"/><Relationship Id="rId2" Type="http://schemas.openxmlformats.org/officeDocument/2006/relationships/image" Target="../media/image1.png"/><Relationship Id="rId16" Type="http://schemas.openxmlformats.org/officeDocument/2006/relationships/hyperlink" Target="#'Straight Connection'!A1"/><Relationship Id="rId29" Type="http://schemas.openxmlformats.org/officeDocument/2006/relationships/image" Target="../media/image18.png"/><Relationship Id="rId11" Type="http://schemas.openxmlformats.org/officeDocument/2006/relationships/image" Target="../media/image6.jpeg"/><Relationship Id="rId24" Type="http://schemas.openxmlformats.org/officeDocument/2006/relationships/image" Target="../media/image15.png"/><Relationship Id="rId32" Type="http://schemas.openxmlformats.org/officeDocument/2006/relationships/image" Target="../media/image21.png"/><Relationship Id="rId37" Type="http://schemas.openxmlformats.org/officeDocument/2006/relationships/image" Target="../media/image25.png"/><Relationship Id="rId40" Type="http://schemas.openxmlformats.org/officeDocument/2006/relationships/image" Target="../media/image27.png"/><Relationship Id="rId45" Type="http://schemas.openxmlformats.org/officeDocument/2006/relationships/hyperlink" Target="#'VALVES &amp; FLANGES'!H70"/><Relationship Id="rId53" Type="http://schemas.openxmlformats.org/officeDocument/2006/relationships/image" Target="../media/image37.png"/><Relationship Id="rId58" Type="http://schemas.openxmlformats.org/officeDocument/2006/relationships/image" Target="../media/image41.png"/><Relationship Id="rId66" Type="http://schemas.openxmlformats.org/officeDocument/2006/relationships/image" Target="../media/image47.png"/><Relationship Id="rId74" Type="http://schemas.openxmlformats.org/officeDocument/2006/relationships/image" Target="../media/image55.png"/><Relationship Id="rId79" Type="http://schemas.openxmlformats.org/officeDocument/2006/relationships/image" Target="../media/image59.png"/><Relationship Id="rId87" Type="http://schemas.openxmlformats.org/officeDocument/2006/relationships/image" Target="../media/image63.png"/><Relationship Id="rId5" Type="http://schemas.openxmlformats.org/officeDocument/2006/relationships/hyperlink" Target="#'ACCESSORIES, HOSES'!A1"/><Relationship Id="rId61" Type="http://schemas.openxmlformats.org/officeDocument/2006/relationships/image" Target="../media/image43.png"/><Relationship Id="rId82" Type="http://schemas.openxmlformats.org/officeDocument/2006/relationships/hyperlink" Target="#Menu!A4"/><Relationship Id="rId90" Type="http://schemas.openxmlformats.org/officeDocument/2006/relationships/hyperlink" Target="#'3 Series'!A1"/><Relationship Id="rId95" Type="http://schemas.openxmlformats.org/officeDocument/2006/relationships/image" Target="../media/image69.png"/><Relationship Id="rId19" Type="http://schemas.openxmlformats.org/officeDocument/2006/relationships/hyperlink" Target="#'Straight Connection'!H41"/><Relationship Id="rId14" Type="http://schemas.openxmlformats.org/officeDocument/2006/relationships/hyperlink" Target="#'HANGING MATERIAL'!A30"/><Relationship Id="rId22" Type="http://schemas.openxmlformats.org/officeDocument/2006/relationships/image" Target="../media/image13.png"/><Relationship Id="rId27" Type="http://schemas.openxmlformats.org/officeDocument/2006/relationships/image" Target="../media/image17.png"/><Relationship Id="rId30" Type="http://schemas.openxmlformats.org/officeDocument/2006/relationships/image" Target="../media/image19.png"/><Relationship Id="rId35" Type="http://schemas.openxmlformats.org/officeDocument/2006/relationships/image" Target="../media/image24.png"/><Relationship Id="rId43" Type="http://schemas.openxmlformats.org/officeDocument/2006/relationships/image" Target="../media/image29.png"/><Relationship Id="rId48" Type="http://schemas.openxmlformats.org/officeDocument/2006/relationships/image" Target="../media/image32.png"/><Relationship Id="rId56" Type="http://schemas.openxmlformats.org/officeDocument/2006/relationships/image" Target="../media/image39.png"/><Relationship Id="rId64" Type="http://schemas.openxmlformats.org/officeDocument/2006/relationships/image" Target="../media/image45.png"/><Relationship Id="rId69" Type="http://schemas.openxmlformats.org/officeDocument/2006/relationships/image" Target="../media/image50.png"/><Relationship Id="rId77" Type="http://schemas.openxmlformats.org/officeDocument/2006/relationships/image" Target="../media/image57.emf"/><Relationship Id="rId100" Type="http://schemas.openxmlformats.org/officeDocument/2006/relationships/image" Target="../media/image74.jpg"/><Relationship Id="rId8" Type="http://schemas.openxmlformats.org/officeDocument/2006/relationships/image" Target="../media/image4.png"/><Relationship Id="rId51" Type="http://schemas.openxmlformats.org/officeDocument/2006/relationships/image" Target="../media/image35.png"/><Relationship Id="rId72" Type="http://schemas.openxmlformats.org/officeDocument/2006/relationships/image" Target="../media/image53.png"/><Relationship Id="rId80" Type="http://schemas.openxmlformats.org/officeDocument/2006/relationships/hyperlink" Target="#'BOM Consolidate (2)'!A1"/><Relationship Id="rId85" Type="http://schemas.openxmlformats.org/officeDocument/2006/relationships/hyperlink" Target="#MENU!H65"/><Relationship Id="rId93" Type="http://schemas.openxmlformats.org/officeDocument/2006/relationships/image" Target="../media/image67.png"/><Relationship Id="rId98" Type="http://schemas.openxmlformats.org/officeDocument/2006/relationships/image" Target="../media/image72.jpeg"/><Relationship Id="rId3" Type="http://schemas.openxmlformats.org/officeDocument/2006/relationships/hyperlink" Target="#QDrops!A1"/><Relationship Id="rId12" Type="http://schemas.openxmlformats.org/officeDocument/2006/relationships/hyperlink" Target="#PIPE!A1"/><Relationship Id="rId17" Type="http://schemas.openxmlformats.org/officeDocument/2006/relationships/image" Target="../media/image9.png"/><Relationship Id="rId25" Type="http://schemas.openxmlformats.org/officeDocument/2006/relationships/image" Target="../media/image16.png"/><Relationship Id="rId33" Type="http://schemas.openxmlformats.org/officeDocument/2006/relationships/image" Target="../media/image22.png"/><Relationship Id="rId38" Type="http://schemas.openxmlformats.org/officeDocument/2006/relationships/hyperlink" Target="#'VALVES &amp; FLANGES'!A1"/><Relationship Id="rId46" Type="http://schemas.openxmlformats.org/officeDocument/2006/relationships/image" Target="../media/image31.png"/><Relationship Id="rId59" Type="http://schemas.openxmlformats.org/officeDocument/2006/relationships/hyperlink" Target="#MENU!H62"/><Relationship Id="rId67" Type="http://schemas.openxmlformats.org/officeDocument/2006/relationships/image" Target="../media/image48.png"/><Relationship Id="rId20" Type="http://schemas.openxmlformats.org/officeDocument/2006/relationships/image" Target="../media/image11.png"/><Relationship Id="rId41" Type="http://schemas.openxmlformats.org/officeDocument/2006/relationships/image" Target="../media/image28.png"/><Relationship Id="rId54" Type="http://schemas.openxmlformats.org/officeDocument/2006/relationships/hyperlink" Target="#'HANGING MATERIAL'!A1"/><Relationship Id="rId62" Type="http://schemas.openxmlformats.org/officeDocument/2006/relationships/hyperlink" Target="#'Reducing unions'!A1"/><Relationship Id="rId70" Type="http://schemas.openxmlformats.org/officeDocument/2006/relationships/image" Target="../media/image51.png"/><Relationship Id="rId75" Type="http://schemas.openxmlformats.org/officeDocument/2006/relationships/hyperlink" Target="#QDrops!H58"/><Relationship Id="rId83" Type="http://schemas.openxmlformats.org/officeDocument/2006/relationships/image" Target="../media/image60.png"/><Relationship Id="rId88" Type="http://schemas.openxmlformats.org/officeDocument/2006/relationships/image" Target="../media/image64.png"/><Relationship Id="rId91" Type="http://schemas.openxmlformats.org/officeDocument/2006/relationships/image" Target="../media/image65.png"/><Relationship Id="rId96" Type="http://schemas.openxmlformats.org/officeDocument/2006/relationships/image" Target="../media/image70.jpeg"/><Relationship Id="rId1" Type="http://schemas.openxmlformats.org/officeDocument/2006/relationships/hyperlink" Target="#'Reducing Fittings'!A1"/><Relationship Id="rId6" Type="http://schemas.openxmlformats.org/officeDocument/2006/relationships/image" Target="../media/image3.png"/><Relationship Id="rId15" Type="http://schemas.openxmlformats.org/officeDocument/2006/relationships/image" Target="../media/image8.png"/><Relationship Id="rId23" Type="http://schemas.openxmlformats.org/officeDocument/2006/relationships/image" Target="../media/image14.png"/><Relationship Id="rId28" Type="http://schemas.openxmlformats.org/officeDocument/2006/relationships/hyperlink" Target="#'Straight Connection'!H51"/><Relationship Id="rId36" Type="http://schemas.openxmlformats.org/officeDocument/2006/relationships/hyperlink" Target="#QDrops!H51"/><Relationship Id="rId49" Type="http://schemas.openxmlformats.org/officeDocument/2006/relationships/image" Target="../media/image33.png"/><Relationship Id="rId57" Type="http://schemas.openxmlformats.org/officeDocument/2006/relationships/image" Target="../media/image40.png"/><Relationship Id="rId10" Type="http://schemas.openxmlformats.org/officeDocument/2006/relationships/image" Target="../media/image5.png"/><Relationship Id="rId31" Type="http://schemas.openxmlformats.org/officeDocument/2006/relationships/image" Target="../media/image20.png"/><Relationship Id="rId44" Type="http://schemas.openxmlformats.org/officeDocument/2006/relationships/image" Target="../media/image30.png"/><Relationship Id="rId52" Type="http://schemas.openxmlformats.org/officeDocument/2006/relationships/image" Target="../media/image36.png"/><Relationship Id="rId60" Type="http://schemas.openxmlformats.org/officeDocument/2006/relationships/image" Target="../media/image42.png"/><Relationship Id="rId65" Type="http://schemas.openxmlformats.org/officeDocument/2006/relationships/image" Target="../media/image46.png"/><Relationship Id="rId73" Type="http://schemas.openxmlformats.org/officeDocument/2006/relationships/image" Target="../media/image54.png"/><Relationship Id="rId78" Type="http://schemas.openxmlformats.org/officeDocument/2006/relationships/image" Target="../media/image58.emf"/><Relationship Id="rId81" Type="http://schemas.openxmlformats.org/officeDocument/2006/relationships/hyperlink" Target="#BOM!A1"/><Relationship Id="rId86" Type="http://schemas.openxmlformats.org/officeDocument/2006/relationships/image" Target="../media/image62.jpeg"/><Relationship Id="rId94" Type="http://schemas.openxmlformats.org/officeDocument/2006/relationships/image" Target="../media/image68.jpeg"/><Relationship Id="rId99" Type="http://schemas.openxmlformats.org/officeDocument/2006/relationships/image" Target="../media/image73.jpeg"/><Relationship Id="rId101" Type="http://schemas.openxmlformats.org/officeDocument/2006/relationships/image" Target="../media/image75.jpeg"/><Relationship Id="rId4" Type="http://schemas.openxmlformats.org/officeDocument/2006/relationships/image" Target="../media/image2.jpeg"/><Relationship Id="rId9" Type="http://schemas.openxmlformats.org/officeDocument/2006/relationships/hyperlink" Target="#'Spare Parts'!A1"/><Relationship Id="rId13" Type="http://schemas.openxmlformats.org/officeDocument/2006/relationships/image" Target="../media/image7.png"/><Relationship Id="rId18" Type="http://schemas.openxmlformats.org/officeDocument/2006/relationships/image" Target="../media/image10.png"/><Relationship Id="rId39" Type="http://schemas.openxmlformats.org/officeDocument/2006/relationships/image" Target="../media/image26.png"/></Relationships>
</file>

<file path=xl/drawings/_rels/drawing3.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76.png"/></Relationships>
</file>

<file path=xl/drawings/_rels/drawing4.xml.rels><?xml version="1.0" encoding="UTF-8" standalone="yes"?>
<Relationships xmlns="http://schemas.openxmlformats.org/package/2006/relationships"><Relationship Id="rId3" Type="http://schemas.openxmlformats.org/officeDocument/2006/relationships/hyperlink" Target="#BOM!A1"/><Relationship Id="rId7" Type="http://schemas.openxmlformats.org/officeDocument/2006/relationships/image" Target="../media/image81.png"/><Relationship Id="rId2" Type="http://schemas.openxmlformats.org/officeDocument/2006/relationships/hyperlink" Target="#Menu!A1"/><Relationship Id="rId1" Type="http://schemas.openxmlformats.org/officeDocument/2006/relationships/image" Target="../media/image77.emf"/><Relationship Id="rId6" Type="http://schemas.openxmlformats.org/officeDocument/2006/relationships/image" Target="../media/image80.jpeg"/><Relationship Id="rId5" Type="http://schemas.openxmlformats.org/officeDocument/2006/relationships/image" Target="../media/image79.jpeg"/><Relationship Id="rId4" Type="http://schemas.openxmlformats.org/officeDocument/2006/relationships/image" Target="../media/image7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89.jpeg"/><Relationship Id="rId13" Type="http://schemas.openxmlformats.org/officeDocument/2006/relationships/image" Target="../media/image94.jpeg"/><Relationship Id="rId18" Type="http://schemas.openxmlformats.org/officeDocument/2006/relationships/image" Target="../media/image96.png"/><Relationship Id="rId26" Type="http://schemas.openxmlformats.org/officeDocument/2006/relationships/image" Target="../media/image102.jpeg"/><Relationship Id="rId3" Type="http://schemas.openxmlformats.org/officeDocument/2006/relationships/image" Target="../media/image84.png"/><Relationship Id="rId21" Type="http://schemas.openxmlformats.org/officeDocument/2006/relationships/image" Target="../media/image99.jpeg"/><Relationship Id="rId7" Type="http://schemas.openxmlformats.org/officeDocument/2006/relationships/image" Target="../media/image88.jpeg"/><Relationship Id="rId12" Type="http://schemas.openxmlformats.org/officeDocument/2006/relationships/image" Target="../media/image93.jpeg"/><Relationship Id="rId17" Type="http://schemas.openxmlformats.org/officeDocument/2006/relationships/image" Target="../media/image95.jpeg"/><Relationship Id="rId25" Type="http://schemas.openxmlformats.org/officeDocument/2006/relationships/image" Target="../media/image70.jpeg"/><Relationship Id="rId2" Type="http://schemas.openxmlformats.org/officeDocument/2006/relationships/image" Target="../media/image83.jpeg"/><Relationship Id="rId16" Type="http://schemas.openxmlformats.org/officeDocument/2006/relationships/hyperlink" Target="#'Straight Connection'!H4"/><Relationship Id="rId20" Type="http://schemas.openxmlformats.org/officeDocument/2006/relationships/image" Target="../media/image98.jpeg"/><Relationship Id="rId1" Type="http://schemas.openxmlformats.org/officeDocument/2006/relationships/image" Target="../media/image82.jpeg"/><Relationship Id="rId6" Type="http://schemas.openxmlformats.org/officeDocument/2006/relationships/image" Target="../media/image87.jpeg"/><Relationship Id="rId11" Type="http://schemas.openxmlformats.org/officeDocument/2006/relationships/image" Target="../media/image92.jpeg"/><Relationship Id="rId24" Type="http://schemas.openxmlformats.org/officeDocument/2006/relationships/image" Target="../media/image101.png"/><Relationship Id="rId5" Type="http://schemas.openxmlformats.org/officeDocument/2006/relationships/image" Target="../media/image86.jpeg"/><Relationship Id="rId15" Type="http://schemas.openxmlformats.org/officeDocument/2006/relationships/hyperlink" Target="#BOM!A1"/><Relationship Id="rId23" Type="http://schemas.openxmlformats.org/officeDocument/2006/relationships/image" Target="../media/image69.png"/><Relationship Id="rId28" Type="http://schemas.openxmlformats.org/officeDocument/2006/relationships/image" Target="../media/image103.jpg"/><Relationship Id="rId10" Type="http://schemas.openxmlformats.org/officeDocument/2006/relationships/image" Target="../media/image91.jpeg"/><Relationship Id="rId19" Type="http://schemas.openxmlformats.org/officeDocument/2006/relationships/image" Target="../media/image97.jpeg"/><Relationship Id="rId4" Type="http://schemas.openxmlformats.org/officeDocument/2006/relationships/image" Target="../media/image85.emf"/><Relationship Id="rId9" Type="http://schemas.openxmlformats.org/officeDocument/2006/relationships/image" Target="../media/image90.jpeg"/><Relationship Id="rId14" Type="http://schemas.openxmlformats.org/officeDocument/2006/relationships/hyperlink" Target="#Menu!A1"/><Relationship Id="rId22" Type="http://schemas.openxmlformats.org/officeDocument/2006/relationships/image" Target="../media/image100.jpeg"/><Relationship Id="rId27" Type="http://schemas.openxmlformats.org/officeDocument/2006/relationships/image" Target="../media/image7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08.jpeg"/><Relationship Id="rId13" Type="http://schemas.openxmlformats.org/officeDocument/2006/relationships/image" Target="../media/image68.jpeg"/><Relationship Id="rId3" Type="http://schemas.openxmlformats.org/officeDocument/2006/relationships/image" Target="../media/image106.jpeg"/><Relationship Id="rId7" Type="http://schemas.openxmlformats.org/officeDocument/2006/relationships/hyperlink" Target="#'Reducing Fittings'!H4"/><Relationship Id="rId12" Type="http://schemas.openxmlformats.org/officeDocument/2006/relationships/image" Target="../media/image111.jpeg"/><Relationship Id="rId2" Type="http://schemas.openxmlformats.org/officeDocument/2006/relationships/image" Target="../media/image105.jpeg"/><Relationship Id="rId1" Type="http://schemas.openxmlformats.org/officeDocument/2006/relationships/image" Target="../media/image104.jpeg"/><Relationship Id="rId6" Type="http://schemas.openxmlformats.org/officeDocument/2006/relationships/hyperlink" Target="#BOM!A1"/><Relationship Id="rId11" Type="http://schemas.openxmlformats.org/officeDocument/2006/relationships/image" Target="../media/image110.jpeg"/><Relationship Id="rId5" Type="http://schemas.openxmlformats.org/officeDocument/2006/relationships/hyperlink" Target="#Menu!A1"/><Relationship Id="rId15" Type="http://schemas.openxmlformats.org/officeDocument/2006/relationships/image" Target="../media/image112.jpg"/><Relationship Id="rId10" Type="http://schemas.openxmlformats.org/officeDocument/2006/relationships/image" Target="../media/image109.png"/><Relationship Id="rId4" Type="http://schemas.openxmlformats.org/officeDocument/2006/relationships/image" Target="../media/image107.jpeg"/><Relationship Id="rId9" Type="http://schemas.openxmlformats.org/officeDocument/2006/relationships/hyperlink" Target="#'NPT Adapters'!A1"/><Relationship Id="rId14" Type="http://schemas.openxmlformats.org/officeDocument/2006/relationships/image" Target="../media/image73.jpeg"/></Relationships>
</file>

<file path=xl/drawings/_rels/drawing7.xml.rels><?xml version="1.0" encoding="UTF-8" standalone="yes"?>
<Relationships xmlns="http://schemas.openxmlformats.org/package/2006/relationships"><Relationship Id="rId8" Type="http://schemas.openxmlformats.org/officeDocument/2006/relationships/hyperlink" Target="#QDrops!H4"/><Relationship Id="rId13" Type="http://schemas.openxmlformats.org/officeDocument/2006/relationships/image" Target="../media/image121.png"/><Relationship Id="rId3" Type="http://schemas.openxmlformats.org/officeDocument/2006/relationships/image" Target="../media/image115.jpeg"/><Relationship Id="rId7" Type="http://schemas.openxmlformats.org/officeDocument/2006/relationships/hyperlink" Target="#BOM!A1"/><Relationship Id="rId12" Type="http://schemas.openxmlformats.org/officeDocument/2006/relationships/image" Target="../media/image120.png"/><Relationship Id="rId2" Type="http://schemas.openxmlformats.org/officeDocument/2006/relationships/image" Target="../media/image114.jpeg"/><Relationship Id="rId1" Type="http://schemas.openxmlformats.org/officeDocument/2006/relationships/image" Target="../media/image113.jpeg"/><Relationship Id="rId6" Type="http://schemas.openxmlformats.org/officeDocument/2006/relationships/hyperlink" Target="#Menu!A1"/><Relationship Id="rId11" Type="http://schemas.openxmlformats.org/officeDocument/2006/relationships/image" Target="../media/image119.jpeg"/><Relationship Id="rId5" Type="http://schemas.openxmlformats.org/officeDocument/2006/relationships/image" Target="../media/image116.jpeg"/><Relationship Id="rId10" Type="http://schemas.openxmlformats.org/officeDocument/2006/relationships/image" Target="../media/image118.jpeg"/><Relationship Id="rId4" Type="http://schemas.openxmlformats.org/officeDocument/2006/relationships/image" Target="../media/image56.jpeg"/><Relationship Id="rId9" Type="http://schemas.openxmlformats.org/officeDocument/2006/relationships/image" Target="../media/image117.jpeg"/><Relationship Id="rId14" Type="http://schemas.openxmlformats.org/officeDocument/2006/relationships/image" Target="../media/image122.jpeg"/></Relationships>
</file>

<file path=xl/drawings/_rels/drawing8.xml.rels><?xml version="1.0" encoding="UTF-8" standalone="yes"?>
<Relationships xmlns="http://schemas.openxmlformats.org/package/2006/relationships"><Relationship Id="rId8" Type="http://schemas.openxmlformats.org/officeDocument/2006/relationships/hyperlink" Target="#Menu!A1"/><Relationship Id="rId13" Type="http://schemas.openxmlformats.org/officeDocument/2006/relationships/image" Target="../media/image131.png"/><Relationship Id="rId18" Type="http://schemas.openxmlformats.org/officeDocument/2006/relationships/image" Target="../media/image134.jpeg"/><Relationship Id="rId3" Type="http://schemas.openxmlformats.org/officeDocument/2006/relationships/image" Target="../media/image125.jpeg"/><Relationship Id="rId21" Type="http://schemas.openxmlformats.org/officeDocument/2006/relationships/image" Target="../media/image137.jpeg"/><Relationship Id="rId7" Type="http://schemas.openxmlformats.org/officeDocument/2006/relationships/image" Target="../media/image129.jpeg"/><Relationship Id="rId12" Type="http://schemas.openxmlformats.org/officeDocument/2006/relationships/image" Target="../media/image130.png"/><Relationship Id="rId17" Type="http://schemas.openxmlformats.org/officeDocument/2006/relationships/image" Target="../media/image133.jpeg"/><Relationship Id="rId2" Type="http://schemas.openxmlformats.org/officeDocument/2006/relationships/image" Target="../media/image124.jpeg"/><Relationship Id="rId16" Type="http://schemas.openxmlformats.org/officeDocument/2006/relationships/image" Target="../media/image132.jpeg"/><Relationship Id="rId20" Type="http://schemas.openxmlformats.org/officeDocument/2006/relationships/image" Target="../media/image136.jpeg"/><Relationship Id="rId1" Type="http://schemas.openxmlformats.org/officeDocument/2006/relationships/image" Target="../media/image123.emf"/><Relationship Id="rId6" Type="http://schemas.openxmlformats.org/officeDocument/2006/relationships/image" Target="../media/image128.jpeg"/><Relationship Id="rId11" Type="http://schemas.openxmlformats.org/officeDocument/2006/relationships/hyperlink" Target="#'NPT Adapters'!A1"/><Relationship Id="rId5" Type="http://schemas.openxmlformats.org/officeDocument/2006/relationships/image" Target="../media/image127.jpeg"/><Relationship Id="rId15" Type="http://schemas.openxmlformats.org/officeDocument/2006/relationships/image" Target="../media/image75.jpeg"/><Relationship Id="rId10" Type="http://schemas.openxmlformats.org/officeDocument/2006/relationships/hyperlink" Target="#'VALVES &amp; FLANGES'!H16"/><Relationship Id="rId19" Type="http://schemas.openxmlformats.org/officeDocument/2006/relationships/image" Target="../media/image135.jpeg"/><Relationship Id="rId4" Type="http://schemas.openxmlformats.org/officeDocument/2006/relationships/image" Target="../media/image126.jpeg"/><Relationship Id="rId9" Type="http://schemas.openxmlformats.org/officeDocument/2006/relationships/hyperlink" Target="#BOM!A1"/><Relationship Id="rId14" Type="http://schemas.microsoft.com/office/2007/relationships/hdphoto" Target="../media/hdphoto1.wdp"/></Relationships>
</file>

<file path=xl/drawings/_rels/drawing9.xml.rels><?xml version="1.0" encoding="UTF-8" standalone="yes"?>
<Relationships xmlns="http://schemas.openxmlformats.org/package/2006/relationships"><Relationship Id="rId8" Type="http://schemas.openxmlformats.org/officeDocument/2006/relationships/image" Target="../media/image141.jpeg"/><Relationship Id="rId3" Type="http://schemas.openxmlformats.org/officeDocument/2006/relationships/hyperlink" Target="#BOM!A1"/><Relationship Id="rId7" Type="http://schemas.openxmlformats.org/officeDocument/2006/relationships/image" Target="../media/image74.jpg"/><Relationship Id="rId2" Type="http://schemas.openxmlformats.org/officeDocument/2006/relationships/hyperlink" Target="#Menu!A1"/><Relationship Id="rId1" Type="http://schemas.openxmlformats.org/officeDocument/2006/relationships/image" Target="../media/image138.jpeg"/><Relationship Id="rId6" Type="http://schemas.openxmlformats.org/officeDocument/2006/relationships/image" Target="../media/image140.jpg"/><Relationship Id="rId5" Type="http://schemas.openxmlformats.org/officeDocument/2006/relationships/image" Target="../media/image139.png"/><Relationship Id="rId4" Type="http://schemas.openxmlformats.org/officeDocument/2006/relationships/hyperlink" Target="#'NPT Adapters'!H12"/></Relationships>
</file>

<file path=xl/drawings/drawing1.xml><?xml version="1.0" encoding="utf-8"?>
<xdr:wsDr xmlns:xdr="http://schemas.openxmlformats.org/drawingml/2006/spreadsheetDrawing" xmlns:a="http://schemas.openxmlformats.org/drawingml/2006/main">
  <xdr:twoCellAnchor editAs="oneCell">
    <xdr:from>
      <xdr:col>1</xdr:col>
      <xdr:colOff>200026</xdr:colOff>
      <xdr:row>0</xdr:row>
      <xdr:rowOff>142875</xdr:rowOff>
    </xdr:from>
    <xdr:to>
      <xdr:col>30</xdr:col>
      <xdr:colOff>323850</xdr:colOff>
      <xdr:row>2</xdr:row>
      <xdr:rowOff>225425</xdr:rowOff>
    </xdr:to>
    <xdr:sp macro="" textlink="">
      <xdr:nvSpPr>
        <xdr:cNvPr id="2" name="Text Box 2">
          <a:extLst>
            <a:ext uri="{FF2B5EF4-FFF2-40B4-BE49-F238E27FC236}">
              <a16:creationId xmlns:a16="http://schemas.microsoft.com/office/drawing/2014/main" id="{D5994192-EEA6-4ADD-BA20-2F9CCC460931}"/>
            </a:ext>
          </a:extLst>
        </xdr:cNvPr>
        <xdr:cNvSpPr txBox="1">
          <a:spLocks noChangeArrowheads="1"/>
        </xdr:cNvSpPr>
      </xdr:nvSpPr>
      <xdr:spPr bwMode="auto">
        <a:xfrm>
          <a:off x="457201" y="142875"/>
          <a:ext cx="3981450" cy="444500"/>
        </a:xfrm>
        <a:prstGeom prst="rect">
          <a:avLst/>
        </a:prstGeom>
        <a:noFill/>
        <a:ln w="9525">
          <a:noFill/>
          <a:miter lim="800000"/>
          <a:headEnd/>
          <a:tailEnd/>
        </a:ln>
      </xdr:spPr>
      <xdr:txBody>
        <a:bodyPr vertOverflow="clip" wrap="square" lIns="54864" tIns="41148" rIns="0" bIns="0" anchor="t" upright="1"/>
        <a:lstStyle/>
        <a:p>
          <a:pPr algn="l" rtl="0">
            <a:defRPr sz="1000"/>
          </a:pPr>
          <a:r>
            <a:rPr lang="en-US" sz="2400" b="1" i="1" u="none" strike="noStrike" baseline="0">
              <a:solidFill>
                <a:srgbClr val="0099C0"/>
              </a:solidFill>
              <a:latin typeface="Arial"/>
              <a:cs typeface="Arial"/>
            </a:rPr>
            <a:t>AIRnet  Price Management</a:t>
          </a:r>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14110</xdr:colOff>
      <xdr:row>3</xdr:row>
      <xdr:rowOff>79157</xdr:rowOff>
    </xdr:from>
    <xdr:to>
      <xdr:col>1</xdr:col>
      <xdr:colOff>902751</xdr:colOff>
      <xdr:row>8</xdr:row>
      <xdr:rowOff>0</xdr:rowOff>
    </xdr:to>
    <xdr:pic>
      <xdr:nvPicPr>
        <xdr:cNvPr id="79" name="Picture 78" descr="Pipe Clip 6 inch.jpg">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1" cstate="email"/>
        <a:srcRect/>
        <a:stretch>
          <a:fillRect/>
        </a:stretch>
      </xdr:blipFill>
      <xdr:spPr>
        <a:xfrm>
          <a:off x="77610" y="1363268"/>
          <a:ext cx="888641" cy="802788"/>
        </a:xfrm>
        <a:prstGeom prst="rect">
          <a:avLst/>
        </a:prstGeom>
      </xdr:spPr>
    </xdr:pic>
    <xdr:clientData/>
  </xdr:twoCellAnchor>
  <xdr:twoCellAnchor editAs="oneCell">
    <xdr:from>
      <xdr:col>2</xdr:col>
      <xdr:colOff>517173</xdr:colOff>
      <xdr:row>82</xdr:row>
      <xdr:rowOff>86078</xdr:rowOff>
    </xdr:from>
    <xdr:to>
      <xdr:col>2</xdr:col>
      <xdr:colOff>1494384</xdr:colOff>
      <xdr:row>87</xdr:row>
      <xdr:rowOff>172127</xdr:rowOff>
    </xdr:to>
    <xdr:pic>
      <xdr:nvPicPr>
        <xdr:cNvPr id="1029" name="Picture 5">
          <a:extLst>
            <a:ext uri="{FF2B5EF4-FFF2-40B4-BE49-F238E27FC236}">
              <a16:creationId xmlns:a16="http://schemas.microsoft.com/office/drawing/2014/main" id="{00000000-0008-0000-0A00-000005040000}"/>
            </a:ext>
          </a:extLst>
        </xdr:cNvPr>
        <xdr:cNvPicPr>
          <a:picLocks noChangeAspect="1" noChangeArrowheads="1"/>
        </xdr:cNvPicPr>
      </xdr:nvPicPr>
      <xdr:blipFill>
        <a:blip xmlns:r="http://schemas.openxmlformats.org/officeDocument/2006/relationships" r:embed="rId2" cstate="email"/>
        <a:srcRect/>
        <a:stretch>
          <a:fillRect/>
        </a:stretch>
      </xdr:blipFill>
      <xdr:spPr bwMode="auto">
        <a:xfrm>
          <a:off x="2384073" y="11681178"/>
          <a:ext cx="980386" cy="981399"/>
        </a:xfrm>
        <a:prstGeom prst="rect">
          <a:avLst/>
        </a:prstGeom>
        <a:noFill/>
        <a:ln w="1">
          <a:noFill/>
          <a:miter lim="800000"/>
          <a:headEnd/>
          <a:tailEnd type="none" w="med" len="med"/>
        </a:ln>
        <a:effectLst/>
      </xdr:spPr>
    </xdr:pic>
    <xdr:clientData/>
  </xdr:twoCellAnchor>
  <xdr:twoCellAnchor editAs="oneCell">
    <xdr:from>
      <xdr:col>2</xdr:col>
      <xdr:colOff>528322</xdr:colOff>
      <xdr:row>64</xdr:row>
      <xdr:rowOff>31749</xdr:rowOff>
    </xdr:from>
    <xdr:to>
      <xdr:col>2</xdr:col>
      <xdr:colOff>1381124</xdr:colOff>
      <xdr:row>68</xdr:row>
      <xdr:rowOff>143865</xdr:rowOff>
    </xdr:to>
    <xdr:pic>
      <xdr:nvPicPr>
        <xdr:cNvPr id="1027" name="Picture 3">
          <a:extLst>
            <a:ext uri="{FF2B5EF4-FFF2-40B4-BE49-F238E27FC236}">
              <a16:creationId xmlns:a16="http://schemas.microsoft.com/office/drawing/2014/main" id="{00000000-0008-0000-0A00-000003040000}"/>
            </a:ext>
          </a:extLst>
        </xdr:cNvPr>
        <xdr:cNvPicPr>
          <a:picLocks noChangeAspect="1" noChangeArrowheads="1"/>
        </xdr:cNvPicPr>
      </xdr:nvPicPr>
      <xdr:blipFill>
        <a:blip xmlns:r="http://schemas.openxmlformats.org/officeDocument/2006/relationships" r:embed="rId3" cstate="email"/>
        <a:srcRect/>
        <a:stretch>
          <a:fillRect/>
        </a:stretch>
      </xdr:blipFill>
      <xdr:spPr bwMode="auto">
        <a:xfrm>
          <a:off x="2395222" y="9137649"/>
          <a:ext cx="855977" cy="820141"/>
        </a:xfrm>
        <a:prstGeom prst="rect">
          <a:avLst/>
        </a:prstGeom>
        <a:noFill/>
        <a:ln w="1">
          <a:noFill/>
          <a:miter lim="800000"/>
          <a:headEnd/>
          <a:tailEnd type="none" w="med" len="med"/>
        </a:ln>
        <a:effectLst/>
      </xdr:spPr>
    </xdr:pic>
    <xdr:clientData/>
  </xdr:twoCellAnchor>
  <xdr:twoCellAnchor editAs="oneCell">
    <xdr:from>
      <xdr:col>2</xdr:col>
      <xdr:colOff>576361</xdr:colOff>
      <xdr:row>73</xdr:row>
      <xdr:rowOff>19050</xdr:rowOff>
    </xdr:from>
    <xdr:to>
      <xdr:col>2</xdr:col>
      <xdr:colOff>1391405</xdr:colOff>
      <xdr:row>77</xdr:row>
      <xdr:rowOff>133350</xdr:rowOff>
    </xdr:to>
    <xdr:pic>
      <xdr:nvPicPr>
        <xdr:cNvPr id="1028" name="Picture 4">
          <a:extLst>
            <a:ext uri="{FF2B5EF4-FFF2-40B4-BE49-F238E27FC236}">
              <a16:creationId xmlns:a16="http://schemas.microsoft.com/office/drawing/2014/main" id="{00000000-0008-0000-0A00-000004040000}"/>
            </a:ext>
          </a:extLst>
        </xdr:cNvPr>
        <xdr:cNvPicPr>
          <a:picLocks noChangeAspect="1" noChangeArrowheads="1"/>
        </xdr:cNvPicPr>
      </xdr:nvPicPr>
      <xdr:blipFill>
        <a:blip xmlns:r="http://schemas.openxmlformats.org/officeDocument/2006/relationships" r:embed="rId4" cstate="email"/>
        <a:srcRect/>
        <a:stretch>
          <a:fillRect/>
        </a:stretch>
      </xdr:blipFill>
      <xdr:spPr bwMode="auto">
        <a:xfrm>
          <a:off x="2443261" y="10369550"/>
          <a:ext cx="815044" cy="825500"/>
        </a:xfrm>
        <a:prstGeom prst="rect">
          <a:avLst/>
        </a:prstGeom>
        <a:noFill/>
        <a:ln w="1">
          <a:noFill/>
          <a:miter lim="800000"/>
          <a:headEnd/>
          <a:tailEnd type="none" w="med" len="med"/>
        </a:ln>
        <a:effectLst/>
      </xdr:spPr>
    </xdr:pic>
    <xdr:clientData/>
  </xdr:twoCellAnchor>
  <xdr:twoCellAnchor editAs="oneCell">
    <xdr:from>
      <xdr:col>1</xdr:col>
      <xdr:colOff>0</xdr:colOff>
      <xdr:row>61</xdr:row>
      <xdr:rowOff>64772</xdr:rowOff>
    </xdr:from>
    <xdr:to>
      <xdr:col>1</xdr:col>
      <xdr:colOff>1752600</xdr:colOff>
      <xdr:row>74</xdr:row>
      <xdr:rowOff>134464</xdr:rowOff>
    </xdr:to>
    <xdr:pic>
      <xdr:nvPicPr>
        <xdr:cNvPr id="1030" name="Picture 6">
          <a:extLst>
            <a:ext uri="{FF2B5EF4-FFF2-40B4-BE49-F238E27FC236}">
              <a16:creationId xmlns:a16="http://schemas.microsoft.com/office/drawing/2014/main" id="{00000000-0008-0000-0A00-000006040000}"/>
            </a:ext>
          </a:extLst>
        </xdr:cNvPr>
        <xdr:cNvPicPr>
          <a:picLocks noChangeAspect="1" noChangeArrowheads="1"/>
        </xdr:cNvPicPr>
      </xdr:nvPicPr>
      <xdr:blipFill>
        <a:blip xmlns:r="http://schemas.openxmlformats.org/officeDocument/2006/relationships" r:embed="rId5" cstate="email"/>
        <a:srcRect/>
        <a:stretch>
          <a:fillRect/>
        </a:stretch>
      </xdr:blipFill>
      <xdr:spPr bwMode="auto">
        <a:xfrm rot="5400000">
          <a:off x="-16432" y="6161964"/>
          <a:ext cx="1785463" cy="1752600"/>
        </a:xfrm>
        <a:prstGeom prst="rect">
          <a:avLst/>
        </a:prstGeom>
        <a:noFill/>
        <a:ln w="1">
          <a:noFill/>
          <a:miter lim="800000"/>
          <a:headEnd/>
          <a:tailEnd type="none" w="med" len="med"/>
        </a:ln>
        <a:effectLst/>
      </xdr:spPr>
    </xdr:pic>
    <xdr:clientData/>
  </xdr:twoCellAnchor>
  <xdr:twoCellAnchor editAs="oneCell">
    <xdr:from>
      <xdr:col>1</xdr:col>
      <xdr:colOff>1668779</xdr:colOff>
      <xdr:row>54</xdr:row>
      <xdr:rowOff>0</xdr:rowOff>
    </xdr:from>
    <xdr:to>
      <xdr:col>2</xdr:col>
      <xdr:colOff>1612547</xdr:colOff>
      <xdr:row>59</xdr:row>
      <xdr:rowOff>120792</xdr:rowOff>
    </xdr:to>
    <xdr:pic>
      <xdr:nvPicPr>
        <xdr:cNvPr id="38" name="Picture 37" descr="Cantilever Arm.jpg">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6" cstate="email"/>
        <a:srcRect/>
        <a:stretch>
          <a:fillRect/>
        </a:stretch>
      </xdr:blipFill>
      <xdr:spPr>
        <a:xfrm>
          <a:off x="1732279" y="10145889"/>
          <a:ext cx="1753165" cy="823173"/>
        </a:xfrm>
        <a:prstGeom prst="rect">
          <a:avLst/>
        </a:prstGeom>
      </xdr:spPr>
    </xdr:pic>
    <xdr:clientData/>
  </xdr:twoCellAnchor>
  <xdr:twoCellAnchor editAs="oneCell">
    <xdr:from>
      <xdr:col>2</xdr:col>
      <xdr:colOff>361950</xdr:colOff>
      <xdr:row>25</xdr:row>
      <xdr:rowOff>1270</xdr:rowOff>
    </xdr:from>
    <xdr:to>
      <xdr:col>2</xdr:col>
      <xdr:colOff>1131610</xdr:colOff>
      <xdr:row>30</xdr:row>
      <xdr:rowOff>135239</xdr:rowOff>
    </xdr:to>
    <xdr:pic>
      <xdr:nvPicPr>
        <xdr:cNvPr id="42" name="Picture 41" descr="Screw Beam Clamp.jpg">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7" cstate="email"/>
        <a:srcRect/>
        <a:stretch>
          <a:fillRect/>
        </a:stretch>
      </xdr:blipFill>
      <xdr:spPr>
        <a:xfrm>
          <a:off x="2228850" y="5195570"/>
          <a:ext cx="772835" cy="845169"/>
        </a:xfrm>
        <a:prstGeom prst="rect">
          <a:avLst/>
        </a:prstGeom>
      </xdr:spPr>
    </xdr:pic>
    <xdr:clientData/>
  </xdr:twoCellAnchor>
  <xdr:twoCellAnchor>
    <xdr:from>
      <xdr:col>1</xdr:col>
      <xdr:colOff>24553</xdr:colOff>
      <xdr:row>0</xdr:row>
      <xdr:rowOff>203479</xdr:rowOff>
    </xdr:from>
    <xdr:to>
      <xdr:col>2</xdr:col>
      <xdr:colOff>1569720</xdr:colOff>
      <xdr:row>0</xdr:row>
      <xdr:rowOff>482320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94403" y="200304"/>
          <a:ext cx="3345392" cy="285191"/>
          <a:chOff x="83820" y="203480"/>
          <a:chExt cx="3314700" cy="278841"/>
        </a:xfrm>
      </xdr:grpSpPr>
      <xdr:sp macro="" textlink="">
        <xdr:nvSpPr>
          <xdr:cNvPr id="23" name="TextBox 22">
            <a:hlinkClick xmlns:r="http://schemas.openxmlformats.org/officeDocument/2006/relationships" r:id="rId8"/>
            <a:extLst>
              <a:ext uri="{FF2B5EF4-FFF2-40B4-BE49-F238E27FC236}">
                <a16:creationId xmlns:a16="http://schemas.microsoft.com/office/drawing/2014/main" id="{00000000-0008-0000-0A00-000017000000}"/>
              </a:ext>
            </a:extLst>
          </xdr:cNvPr>
          <xdr:cNvSpPr txBox="1"/>
        </xdr:nvSpPr>
        <xdr:spPr>
          <a:xfrm>
            <a:off x="83820" y="203480"/>
            <a:ext cx="144780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4" name="TextBox 23">
            <a:hlinkClick xmlns:r="http://schemas.openxmlformats.org/officeDocument/2006/relationships" r:id="rId9"/>
            <a:extLst>
              <a:ext uri="{FF2B5EF4-FFF2-40B4-BE49-F238E27FC236}">
                <a16:creationId xmlns:a16="http://schemas.microsoft.com/office/drawing/2014/main" id="{00000000-0008-0000-0A00-000018000000}"/>
              </a:ext>
            </a:extLst>
          </xdr:cNvPr>
          <xdr:cNvSpPr txBox="1"/>
        </xdr:nvSpPr>
        <xdr:spPr>
          <a:xfrm>
            <a:off x="1859280" y="203480"/>
            <a:ext cx="153924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7</xdr:col>
      <xdr:colOff>539750</xdr:colOff>
      <xdr:row>85</xdr:row>
      <xdr:rowOff>120650</xdr:rowOff>
    </xdr:from>
    <xdr:to>
      <xdr:col>10</xdr:col>
      <xdr:colOff>292100</xdr:colOff>
      <xdr:row>87</xdr:row>
      <xdr:rowOff>5644</xdr:rowOff>
    </xdr:to>
    <xdr:sp macro="" textlink="">
      <xdr:nvSpPr>
        <xdr:cNvPr id="25" name="TextBox 24">
          <a:hlinkClick xmlns:r="http://schemas.openxmlformats.org/officeDocument/2006/relationships" r:id="rId10" tooltip="Return to Top of Page"/>
          <a:extLst>
            <a:ext uri="{FF2B5EF4-FFF2-40B4-BE49-F238E27FC236}">
              <a16:creationId xmlns:a16="http://schemas.microsoft.com/office/drawing/2014/main" id="{00000000-0008-0000-0A00-000019000000}"/>
            </a:ext>
          </a:extLst>
        </xdr:cNvPr>
        <xdr:cNvSpPr txBox="1"/>
      </xdr:nvSpPr>
      <xdr:spPr>
        <a:xfrm>
          <a:off x="9563100" y="12249150"/>
          <a:ext cx="2228850" cy="246944"/>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2</xdr:col>
      <xdr:colOff>127000</xdr:colOff>
      <xdr:row>12</xdr:row>
      <xdr:rowOff>7760</xdr:rowOff>
    </xdr:from>
    <xdr:to>
      <xdr:col>2</xdr:col>
      <xdr:colOff>1536065</xdr:colOff>
      <xdr:row>17</xdr:row>
      <xdr:rowOff>1834</xdr:rowOff>
    </xdr:to>
    <xdr:pic>
      <xdr:nvPicPr>
        <xdr:cNvPr id="28" name="Picture 27" descr="2015-11-02_14-59-56.jpg">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11" cstate="email"/>
        <a:stretch>
          <a:fillRect/>
        </a:stretch>
      </xdr:blipFill>
      <xdr:spPr>
        <a:xfrm>
          <a:off x="1955800" y="2962627"/>
          <a:ext cx="1412240" cy="921879"/>
        </a:xfrm>
        <a:prstGeom prst="rect">
          <a:avLst/>
        </a:prstGeom>
      </xdr:spPr>
    </xdr:pic>
    <xdr:clientData/>
  </xdr:twoCellAnchor>
  <xdr:twoCellAnchor>
    <xdr:from>
      <xdr:col>1</xdr:col>
      <xdr:colOff>896056</xdr:colOff>
      <xdr:row>3</xdr:row>
      <xdr:rowOff>155222</xdr:rowOff>
    </xdr:from>
    <xdr:to>
      <xdr:col>1</xdr:col>
      <xdr:colOff>1636889</xdr:colOff>
      <xdr:row>7</xdr:row>
      <xdr:rowOff>56445</xdr:rowOff>
    </xdr:to>
    <xdr:sp macro="" textlink="">
      <xdr:nvSpPr>
        <xdr:cNvPr id="22" name="TextBox 21">
          <a:extLst>
            <a:ext uri="{FF2B5EF4-FFF2-40B4-BE49-F238E27FC236}">
              <a16:creationId xmlns:a16="http://schemas.microsoft.com/office/drawing/2014/main" id="{EDDE1911-70F9-4AF0-B398-2047988FE5E2}"/>
            </a:ext>
          </a:extLst>
        </xdr:cNvPr>
        <xdr:cNvSpPr txBox="1"/>
      </xdr:nvSpPr>
      <xdr:spPr>
        <a:xfrm>
          <a:off x="959556" y="1439333"/>
          <a:ext cx="740833" cy="60677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 shown</a:t>
          </a:r>
        </a:p>
      </xdr:txBody>
    </xdr:sp>
    <xdr:clientData/>
  </xdr:twoCellAnchor>
  <xdr:twoCellAnchor>
    <xdr:from>
      <xdr:col>2</xdr:col>
      <xdr:colOff>1037167</xdr:colOff>
      <xdr:row>3</xdr:row>
      <xdr:rowOff>148167</xdr:rowOff>
    </xdr:from>
    <xdr:to>
      <xdr:col>2</xdr:col>
      <xdr:colOff>1785056</xdr:colOff>
      <xdr:row>7</xdr:row>
      <xdr:rowOff>49390</xdr:rowOff>
    </xdr:to>
    <xdr:sp macro="" textlink="">
      <xdr:nvSpPr>
        <xdr:cNvPr id="30" name="TextBox 29">
          <a:extLst>
            <a:ext uri="{FF2B5EF4-FFF2-40B4-BE49-F238E27FC236}">
              <a16:creationId xmlns:a16="http://schemas.microsoft.com/office/drawing/2014/main" id="{60242E23-81C5-43E8-AD06-70964B7ACDD3}"/>
            </a:ext>
          </a:extLst>
        </xdr:cNvPr>
        <xdr:cNvSpPr txBox="1"/>
      </xdr:nvSpPr>
      <xdr:spPr>
        <a:xfrm>
          <a:off x="2906889" y="1432278"/>
          <a:ext cx="747889" cy="60677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3/4"-2" Diameter shown</a:t>
          </a:r>
        </a:p>
      </xdr:txBody>
    </xdr:sp>
    <xdr:clientData/>
  </xdr:twoCellAnchor>
  <xdr:twoCellAnchor>
    <xdr:from>
      <xdr:col>2</xdr:col>
      <xdr:colOff>122327</xdr:colOff>
      <xdr:row>3</xdr:row>
      <xdr:rowOff>14111</xdr:rowOff>
    </xdr:from>
    <xdr:to>
      <xdr:col>2</xdr:col>
      <xdr:colOff>957059</xdr:colOff>
      <xdr:row>8</xdr:row>
      <xdr:rowOff>20038</xdr:rowOff>
    </xdr:to>
    <xdr:pic>
      <xdr:nvPicPr>
        <xdr:cNvPr id="80" name="Picture 79" descr="Pipe Clip PF Large.jpg">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12" cstate="email"/>
        <a:srcRect/>
        <a:stretch>
          <a:fillRect/>
        </a:stretch>
      </xdr:blipFill>
      <xdr:spPr>
        <a:xfrm>
          <a:off x="1992049" y="1298222"/>
          <a:ext cx="834732" cy="887872"/>
        </a:xfrm>
        <a:prstGeom prst="rect">
          <a:avLst/>
        </a:prstGeom>
      </xdr:spPr>
    </xdr:pic>
    <xdr:clientData/>
  </xdr:twoCellAnchor>
  <xdr:twoCellAnchor>
    <xdr:from>
      <xdr:col>1</xdr:col>
      <xdr:colOff>225779</xdr:colOff>
      <xdr:row>7</xdr:row>
      <xdr:rowOff>141110</xdr:rowOff>
    </xdr:from>
    <xdr:to>
      <xdr:col>2</xdr:col>
      <xdr:colOff>1460501</xdr:colOff>
      <xdr:row>10</xdr:row>
      <xdr:rowOff>70555</xdr:rowOff>
    </xdr:to>
    <xdr:sp macro="" textlink="">
      <xdr:nvSpPr>
        <xdr:cNvPr id="2" name="TextBox 1">
          <a:extLst>
            <a:ext uri="{FF2B5EF4-FFF2-40B4-BE49-F238E27FC236}">
              <a16:creationId xmlns:a16="http://schemas.microsoft.com/office/drawing/2014/main" id="{88BEACFB-CBB6-4355-A522-3C99B61AA1F1}"/>
            </a:ext>
          </a:extLst>
        </xdr:cNvPr>
        <xdr:cNvSpPr txBox="1"/>
      </xdr:nvSpPr>
      <xdr:spPr>
        <a:xfrm>
          <a:off x="289279" y="2130777"/>
          <a:ext cx="3040944" cy="4586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Recommended - 3 pipe clips per full length of pipe                ***See assembly instructions for detais***</a:t>
          </a:r>
        </a:p>
      </xdr:txBody>
    </xdr:sp>
    <xdr:clientData/>
  </xdr:twoCellAnchor>
  <xdr:twoCellAnchor>
    <xdr:from>
      <xdr:col>1</xdr:col>
      <xdr:colOff>105833</xdr:colOff>
      <xdr:row>18</xdr:row>
      <xdr:rowOff>42334</xdr:rowOff>
    </xdr:from>
    <xdr:to>
      <xdr:col>1</xdr:col>
      <xdr:colOff>1763889</xdr:colOff>
      <xdr:row>23</xdr:row>
      <xdr:rowOff>134055</xdr:rowOff>
    </xdr:to>
    <xdr:sp macro="" textlink="">
      <xdr:nvSpPr>
        <xdr:cNvPr id="3" name="TextBox 2">
          <a:extLst>
            <a:ext uri="{FF2B5EF4-FFF2-40B4-BE49-F238E27FC236}">
              <a16:creationId xmlns:a16="http://schemas.microsoft.com/office/drawing/2014/main" id="{071300FE-8C51-4AB0-BB89-CAC3A6493C7F}"/>
            </a:ext>
          </a:extLst>
        </xdr:cNvPr>
        <xdr:cNvSpPr txBox="1"/>
      </xdr:nvSpPr>
      <xdr:spPr>
        <a:xfrm>
          <a:off x="169333" y="4148667"/>
          <a:ext cx="1658056" cy="7972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Use these adapter bolts if you choose to use 3/8" all thread on pipe clips (instead of 1/4" &amp; 5/16").</a:t>
          </a:r>
        </a:p>
      </xdr:txBody>
    </xdr:sp>
    <xdr:clientData/>
  </xdr:twoCellAnchor>
  <xdr:twoCellAnchor editAs="oneCell">
    <xdr:from>
      <xdr:col>1</xdr:col>
      <xdr:colOff>1601611</xdr:colOff>
      <xdr:row>31</xdr:row>
      <xdr:rowOff>169335</xdr:rowOff>
    </xdr:from>
    <xdr:to>
      <xdr:col>3</xdr:col>
      <xdr:colOff>668</xdr:colOff>
      <xdr:row>37</xdr:row>
      <xdr:rowOff>31399</xdr:rowOff>
    </xdr:to>
    <xdr:pic>
      <xdr:nvPicPr>
        <xdr:cNvPr id="4" name="Picture 3">
          <a:extLst>
            <a:ext uri="{FF2B5EF4-FFF2-40B4-BE49-F238E27FC236}">
              <a16:creationId xmlns:a16="http://schemas.microsoft.com/office/drawing/2014/main" id="{20058A8A-02B6-4051-8A6A-241C6022CE0A}"/>
            </a:ext>
          </a:extLst>
        </xdr:cNvPr>
        <xdr:cNvPicPr>
          <a:picLocks noChangeAspect="1"/>
        </xdr:cNvPicPr>
      </xdr:nvPicPr>
      <xdr:blipFill>
        <a:blip xmlns:r="http://schemas.openxmlformats.org/officeDocument/2006/relationships" r:embed="rId13"/>
        <a:stretch>
          <a:fillRect/>
        </a:stretch>
      </xdr:blipFill>
      <xdr:spPr>
        <a:xfrm>
          <a:off x="1665111" y="6392335"/>
          <a:ext cx="2002329" cy="917222"/>
        </a:xfrm>
        <a:prstGeom prst="rect">
          <a:avLst/>
        </a:prstGeom>
      </xdr:spPr>
    </xdr:pic>
    <xdr:clientData/>
  </xdr:twoCellAnchor>
  <xdr:twoCellAnchor editAs="oneCell">
    <xdr:from>
      <xdr:col>2</xdr:col>
      <xdr:colOff>355600</xdr:colOff>
      <xdr:row>18</xdr:row>
      <xdr:rowOff>6350</xdr:rowOff>
    </xdr:from>
    <xdr:to>
      <xdr:col>2</xdr:col>
      <xdr:colOff>1303808</xdr:colOff>
      <xdr:row>23</xdr:row>
      <xdr:rowOff>140723</xdr:rowOff>
    </xdr:to>
    <xdr:pic>
      <xdr:nvPicPr>
        <xdr:cNvPr id="5" name="Picture 4">
          <a:extLst>
            <a:ext uri="{FF2B5EF4-FFF2-40B4-BE49-F238E27FC236}">
              <a16:creationId xmlns:a16="http://schemas.microsoft.com/office/drawing/2014/main" id="{5644679E-24B3-4753-861A-A974C4CE6935}"/>
            </a:ext>
          </a:extLst>
        </xdr:cNvPr>
        <xdr:cNvPicPr>
          <a:picLocks noChangeAspect="1"/>
        </xdr:cNvPicPr>
      </xdr:nvPicPr>
      <xdr:blipFill>
        <a:blip xmlns:r="http://schemas.openxmlformats.org/officeDocument/2006/relationships" r:embed="rId14"/>
        <a:stretch>
          <a:fillRect/>
        </a:stretch>
      </xdr:blipFill>
      <xdr:spPr>
        <a:xfrm>
          <a:off x="2222500" y="4133850"/>
          <a:ext cx="945033" cy="8487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1760218</xdr:colOff>
      <xdr:row>61</xdr:row>
      <xdr:rowOff>8468</xdr:rowOff>
    </xdr:from>
    <xdr:to>
      <xdr:col>2</xdr:col>
      <xdr:colOff>1612752</xdr:colOff>
      <xdr:row>62</xdr:row>
      <xdr:rowOff>122062</xdr:rowOff>
    </xdr:to>
    <xdr:pic>
      <xdr:nvPicPr>
        <xdr:cNvPr id="2" name="Picture 56">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email"/>
        <a:srcRect l="20770" t="50694" r="32151" b="33334"/>
        <a:stretch>
          <a:fillRect/>
        </a:stretch>
      </xdr:blipFill>
      <xdr:spPr bwMode="auto">
        <a:xfrm>
          <a:off x="1819485" y="10727268"/>
          <a:ext cx="1622067" cy="355600"/>
        </a:xfrm>
        <a:prstGeom prst="rect">
          <a:avLst/>
        </a:prstGeom>
        <a:noFill/>
      </xdr:spPr>
    </xdr:pic>
    <xdr:clientData/>
  </xdr:twoCellAnchor>
  <xdr:twoCellAnchor editAs="oneCell">
    <xdr:from>
      <xdr:col>0</xdr:col>
      <xdr:colOff>29816</xdr:colOff>
      <xdr:row>3</xdr:row>
      <xdr:rowOff>45947</xdr:rowOff>
    </xdr:from>
    <xdr:to>
      <xdr:col>1</xdr:col>
      <xdr:colOff>1702506</xdr:colOff>
      <xdr:row>8</xdr:row>
      <xdr:rowOff>77857</xdr:rowOff>
    </xdr:to>
    <xdr:pic>
      <xdr:nvPicPr>
        <xdr:cNvPr id="13" name="Picture 57">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cstate="email"/>
        <a:srcRect l="8824" t="12500" r="8123" b="6250"/>
        <a:stretch>
          <a:fillRect/>
        </a:stretch>
      </xdr:blipFill>
      <xdr:spPr bwMode="auto">
        <a:xfrm>
          <a:off x="29816" y="1334997"/>
          <a:ext cx="1742540" cy="1206660"/>
        </a:xfrm>
        <a:prstGeom prst="rect">
          <a:avLst/>
        </a:prstGeom>
        <a:noFill/>
      </xdr:spPr>
    </xdr:pic>
    <xdr:clientData/>
  </xdr:twoCellAnchor>
  <xdr:twoCellAnchor editAs="oneCell">
    <xdr:from>
      <xdr:col>1</xdr:col>
      <xdr:colOff>10583</xdr:colOff>
      <xdr:row>30</xdr:row>
      <xdr:rowOff>52917</xdr:rowOff>
    </xdr:from>
    <xdr:to>
      <xdr:col>1</xdr:col>
      <xdr:colOff>1246293</xdr:colOff>
      <xdr:row>33</xdr:row>
      <xdr:rowOff>1906</xdr:rowOff>
    </xdr:to>
    <xdr:pic>
      <xdr:nvPicPr>
        <xdr:cNvPr id="19" name="Picture 18" descr="Electric Saw 3.jpg">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3" cstate="email"/>
        <a:stretch>
          <a:fillRect/>
        </a:stretch>
      </xdr:blipFill>
      <xdr:spPr>
        <a:xfrm>
          <a:off x="74083" y="7317317"/>
          <a:ext cx="1235710" cy="650664"/>
        </a:xfrm>
        <a:prstGeom prst="rect">
          <a:avLst/>
        </a:prstGeom>
      </xdr:spPr>
    </xdr:pic>
    <xdr:clientData/>
  </xdr:twoCellAnchor>
  <xdr:twoCellAnchor>
    <xdr:from>
      <xdr:col>1</xdr:col>
      <xdr:colOff>24553</xdr:colOff>
      <xdr:row>0</xdr:row>
      <xdr:rowOff>203479</xdr:rowOff>
    </xdr:from>
    <xdr:to>
      <xdr:col>2</xdr:col>
      <xdr:colOff>1569720</xdr:colOff>
      <xdr:row>0</xdr:row>
      <xdr:rowOff>482320</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94403" y="200304"/>
          <a:ext cx="3345392" cy="285191"/>
          <a:chOff x="83820" y="203480"/>
          <a:chExt cx="3314700" cy="278841"/>
        </a:xfrm>
      </xdr:grpSpPr>
      <xdr:sp macro="" textlink="">
        <xdr:nvSpPr>
          <xdr:cNvPr id="26" name="TextBox 25">
            <a:hlinkClick xmlns:r="http://schemas.openxmlformats.org/officeDocument/2006/relationships" r:id="rId4"/>
            <a:extLst>
              <a:ext uri="{FF2B5EF4-FFF2-40B4-BE49-F238E27FC236}">
                <a16:creationId xmlns:a16="http://schemas.microsoft.com/office/drawing/2014/main" id="{00000000-0008-0000-0B00-00001A000000}"/>
              </a:ext>
            </a:extLst>
          </xdr:cNvPr>
          <xdr:cNvSpPr txBox="1"/>
        </xdr:nvSpPr>
        <xdr:spPr>
          <a:xfrm>
            <a:off x="83820" y="203480"/>
            <a:ext cx="144780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7" name="TextBox 26">
            <a:hlinkClick xmlns:r="http://schemas.openxmlformats.org/officeDocument/2006/relationships" r:id="rId5"/>
            <a:extLst>
              <a:ext uri="{FF2B5EF4-FFF2-40B4-BE49-F238E27FC236}">
                <a16:creationId xmlns:a16="http://schemas.microsoft.com/office/drawing/2014/main" id="{00000000-0008-0000-0B00-00001B000000}"/>
              </a:ext>
            </a:extLst>
          </xdr:cNvPr>
          <xdr:cNvSpPr txBox="1"/>
        </xdr:nvSpPr>
        <xdr:spPr>
          <a:xfrm>
            <a:off x="1859280" y="203480"/>
            <a:ext cx="153924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8</xdr:col>
      <xdr:colOff>80434</xdr:colOff>
      <xdr:row>64</xdr:row>
      <xdr:rowOff>139699</xdr:rowOff>
    </xdr:from>
    <xdr:to>
      <xdr:col>9</xdr:col>
      <xdr:colOff>897467</xdr:colOff>
      <xdr:row>65</xdr:row>
      <xdr:rowOff>170603</xdr:rowOff>
    </xdr:to>
    <xdr:sp macro="" textlink="">
      <xdr:nvSpPr>
        <xdr:cNvPr id="28" name="TextBox 27">
          <a:hlinkClick xmlns:r="http://schemas.openxmlformats.org/officeDocument/2006/relationships" r:id="rId6" tooltip="Retuirn to Top of Page"/>
          <a:extLst>
            <a:ext uri="{FF2B5EF4-FFF2-40B4-BE49-F238E27FC236}">
              <a16:creationId xmlns:a16="http://schemas.microsoft.com/office/drawing/2014/main" id="{00000000-0008-0000-0B00-00001C000000}"/>
            </a:ext>
          </a:extLst>
        </xdr:cNvPr>
        <xdr:cNvSpPr txBox="1"/>
      </xdr:nvSpPr>
      <xdr:spPr>
        <a:xfrm>
          <a:off x="11123084" y="15398749"/>
          <a:ext cx="1642533" cy="265854"/>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xdr:from>
      <xdr:col>2</xdr:col>
      <xdr:colOff>71967</xdr:colOff>
      <xdr:row>3</xdr:row>
      <xdr:rowOff>33867</xdr:rowOff>
    </xdr:from>
    <xdr:to>
      <xdr:col>2</xdr:col>
      <xdr:colOff>1644650</xdr:colOff>
      <xdr:row>6</xdr:row>
      <xdr:rowOff>120650</xdr:rowOff>
    </xdr:to>
    <xdr:sp macro="" textlink="">
      <xdr:nvSpPr>
        <xdr:cNvPr id="4" name="TextBox 3">
          <a:extLst>
            <a:ext uri="{FF2B5EF4-FFF2-40B4-BE49-F238E27FC236}">
              <a16:creationId xmlns:a16="http://schemas.microsoft.com/office/drawing/2014/main" id="{95E975D4-E451-4F1E-A818-B1FA00CE03E6}"/>
            </a:ext>
          </a:extLst>
        </xdr:cNvPr>
        <xdr:cNvSpPr txBox="1"/>
      </xdr:nvSpPr>
      <xdr:spPr>
        <a:xfrm>
          <a:off x="1938867" y="1138767"/>
          <a:ext cx="1572683" cy="6392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2"/>
              </a:solidFill>
            </a:rPr>
            <a:t>The most important assembly tool for a leak</a:t>
          </a:r>
          <a:r>
            <a:rPr lang="en-US" sz="1100" b="1" baseline="0">
              <a:solidFill>
                <a:schemeClr val="accent2"/>
              </a:solidFill>
            </a:rPr>
            <a:t> free installation!</a:t>
          </a:r>
          <a:endParaRPr lang="en-US" sz="1100" b="1">
            <a:solidFill>
              <a:schemeClr val="accent2"/>
            </a:solidFill>
          </a:endParaRPr>
        </a:p>
      </xdr:txBody>
    </xdr:sp>
    <xdr:clientData/>
  </xdr:twoCellAnchor>
  <xdr:twoCellAnchor>
    <xdr:from>
      <xdr:col>1</xdr:col>
      <xdr:colOff>557387</xdr:colOff>
      <xdr:row>43</xdr:row>
      <xdr:rowOff>0</xdr:rowOff>
    </xdr:from>
    <xdr:to>
      <xdr:col>1</xdr:col>
      <xdr:colOff>1629834</xdr:colOff>
      <xdr:row>46</xdr:row>
      <xdr:rowOff>7055</xdr:rowOff>
    </xdr:to>
    <xdr:sp macro="" textlink="">
      <xdr:nvSpPr>
        <xdr:cNvPr id="6" name="TextBox 5">
          <a:extLst>
            <a:ext uri="{FF2B5EF4-FFF2-40B4-BE49-F238E27FC236}">
              <a16:creationId xmlns:a16="http://schemas.microsoft.com/office/drawing/2014/main" id="{B15D5AF2-E2AE-4704-9524-EB25440F4D0F}"/>
            </a:ext>
          </a:extLst>
        </xdr:cNvPr>
        <xdr:cNvSpPr txBox="1"/>
      </xdr:nvSpPr>
      <xdr:spPr>
        <a:xfrm>
          <a:off x="620887" y="6745111"/>
          <a:ext cx="1072447" cy="5362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Used to tighten Quick Drops</a:t>
          </a:r>
        </a:p>
      </xdr:txBody>
    </xdr:sp>
    <xdr:clientData/>
  </xdr:twoCellAnchor>
  <xdr:twoCellAnchor>
    <xdr:from>
      <xdr:col>1</xdr:col>
      <xdr:colOff>55740</xdr:colOff>
      <xdr:row>13</xdr:row>
      <xdr:rowOff>57151</xdr:rowOff>
    </xdr:from>
    <xdr:to>
      <xdr:col>1</xdr:col>
      <xdr:colOff>1212851</xdr:colOff>
      <xdr:row>15</xdr:row>
      <xdr:rowOff>76200</xdr:rowOff>
    </xdr:to>
    <xdr:sp macro="" textlink="">
      <xdr:nvSpPr>
        <xdr:cNvPr id="7" name="TextBox 6">
          <a:extLst>
            <a:ext uri="{FF2B5EF4-FFF2-40B4-BE49-F238E27FC236}">
              <a16:creationId xmlns:a16="http://schemas.microsoft.com/office/drawing/2014/main" id="{A448C889-BCD1-4DD4-8705-5C2E9E816E06}"/>
            </a:ext>
          </a:extLst>
        </xdr:cNvPr>
        <xdr:cNvSpPr txBox="1"/>
      </xdr:nvSpPr>
      <xdr:spPr>
        <a:xfrm>
          <a:off x="119240" y="3562351"/>
          <a:ext cx="1157111" cy="488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Used to debur Quick Drop holes</a:t>
          </a:r>
        </a:p>
      </xdr:txBody>
    </xdr:sp>
    <xdr:clientData/>
  </xdr:twoCellAnchor>
  <xdr:twoCellAnchor editAs="oneCell">
    <xdr:from>
      <xdr:col>1</xdr:col>
      <xdr:colOff>12700</xdr:colOff>
      <xdr:row>58</xdr:row>
      <xdr:rowOff>155927</xdr:rowOff>
    </xdr:from>
    <xdr:to>
      <xdr:col>1</xdr:col>
      <xdr:colOff>1292430</xdr:colOff>
      <xdr:row>64</xdr:row>
      <xdr:rowOff>39228</xdr:rowOff>
    </xdr:to>
    <xdr:pic>
      <xdr:nvPicPr>
        <xdr:cNvPr id="8" name="Picture 49">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7" cstate="email"/>
        <a:srcRect l="21232" t="6944" r="23842" b="6944"/>
        <a:stretch>
          <a:fillRect/>
        </a:stretch>
      </xdr:blipFill>
      <xdr:spPr bwMode="auto">
        <a:xfrm>
          <a:off x="76200" y="14005277"/>
          <a:ext cx="1279730" cy="1293001"/>
        </a:xfrm>
        <a:prstGeom prst="rect">
          <a:avLst/>
        </a:prstGeom>
        <a:noFill/>
      </xdr:spPr>
    </xdr:pic>
    <xdr:clientData/>
  </xdr:twoCellAnchor>
  <xdr:twoCellAnchor editAs="oneCell">
    <xdr:from>
      <xdr:col>1</xdr:col>
      <xdr:colOff>498829</xdr:colOff>
      <xdr:row>51</xdr:row>
      <xdr:rowOff>126999</xdr:rowOff>
    </xdr:from>
    <xdr:to>
      <xdr:col>2</xdr:col>
      <xdr:colOff>2846</xdr:colOff>
      <xdr:row>54</xdr:row>
      <xdr:rowOff>10583</xdr:rowOff>
    </xdr:to>
    <xdr:pic>
      <xdr:nvPicPr>
        <xdr:cNvPr id="12" name="Picture 11">
          <a:extLst>
            <a:ext uri="{FF2B5EF4-FFF2-40B4-BE49-F238E27FC236}">
              <a16:creationId xmlns:a16="http://schemas.microsoft.com/office/drawing/2014/main" id="{4FF700BF-DD03-4DC9-98FE-4E519938597F}"/>
            </a:ext>
          </a:extLst>
        </xdr:cNvPr>
        <xdr:cNvPicPr>
          <a:picLocks noChangeAspect="1"/>
        </xdr:cNvPicPr>
      </xdr:nvPicPr>
      <xdr:blipFill>
        <a:blip xmlns:r="http://schemas.openxmlformats.org/officeDocument/2006/relationships" r:embed="rId8"/>
        <a:stretch>
          <a:fillRect/>
        </a:stretch>
      </xdr:blipFill>
      <xdr:spPr>
        <a:xfrm rot="2391316">
          <a:off x="562329" y="12090399"/>
          <a:ext cx="1304242" cy="582084"/>
        </a:xfrm>
        <a:prstGeom prst="rect">
          <a:avLst/>
        </a:prstGeom>
      </xdr:spPr>
    </xdr:pic>
    <xdr:clientData/>
  </xdr:twoCellAnchor>
  <xdr:twoCellAnchor editAs="oneCell">
    <xdr:from>
      <xdr:col>1</xdr:col>
      <xdr:colOff>1154289</xdr:colOff>
      <xdr:row>34</xdr:row>
      <xdr:rowOff>147523</xdr:rowOff>
    </xdr:from>
    <xdr:to>
      <xdr:col>1</xdr:col>
      <xdr:colOff>1592988</xdr:colOff>
      <xdr:row>40</xdr:row>
      <xdr:rowOff>107899</xdr:rowOff>
    </xdr:to>
    <xdr:pic>
      <xdr:nvPicPr>
        <xdr:cNvPr id="15" name="Picture 14">
          <a:extLst>
            <a:ext uri="{FF2B5EF4-FFF2-40B4-BE49-F238E27FC236}">
              <a16:creationId xmlns:a16="http://schemas.microsoft.com/office/drawing/2014/main" id="{C742D4E7-F392-4C65-A35B-7027BF412DBB}"/>
            </a:ext>
          </a:extLst>
        </xdr:cNvPr>
        <xdr:cNvPicPr>
          <a:picLocks noChangeAspect="1"/>
        </xdr:cNvPicPr>
      </xdr:nvPicPr>
      <xdr:blipFill>
        <a:blip xmlns:r="http://schemas.openxmlformats.org/officeDocument/2006/relationships" r:embed="rId9"/>
        <a:stretch>
          <a:fillRect/>
        </a:stretch>
      </xdr:blipFill>
      <xdr:spPr>
        <a:xfrm>
          <a:off x="1217789" y="8351723"/>
          <a:ext cx="438699" cy="1135126"/>
        </a:xfrm>
        <a:prstGeom prst="rect">
          <a:avLst/>
        </a:prstGeom>
      </xdr:spPr>
    </xdr:pic>
    <xdr:clientData/>
  </xdr:twoCellAnchor>
  <xdr:twoCellAnchor editAs="oneCell">
    <xdr:from>
      <xdr:col>2</xdr:col>
      <xdr:colOff>469051</xdr:colOff>
      <xdr:row>59</xdr:row>
      <xdr:rowOff>49248</xdr:rowOff>
    </xdr:from>
    <xdr:to>
      <xdr:col>2</xdr:col>
      <xdr:colOff>1687501</xdr:colOff>
      <xdr:row>63</xdr:row>
      <xdr:rowOff>160894</xdr:rowOff>
    </xdr:to>
    <xdr:pic>
      <xdr:nvPicPr>
        <xdr:cNvPr id="11" name="Picture 50">
          <a:extLst>
            <a:ext uri="{FF2B5EF4-FFF2-40B4-BE49-F238E27FC236}">
              <a16:creationId xmlns:a16="http://schemas.microsoft.com/office/drawing/2014/main" id="{3ED2D7AF-7E4D-49A0-91A7-D6F9445F3A24}"/>
            </a:ext>
          </a:extLst>
        </xdr:cNvPr>
        <xdr:cNvPicPr>
          <a:picLocks noChangeAspect="1" noChangeArrowheads="1"/>
        </xdr:cNvPicPr>
      </xdr:nvPicPr>
      <xdr:blipFill>
        <a:blip xmlns:r="http://schemas.openxmlformats.org/officeDocument/2006/relationships" r:embed="rId10" cstate="email"/>
        <a:srcRect l="23816" t="23333" r="27443" b="10833"/>
        <a:stretch>
          <a:fillRect/>
        </a:stretch>
      </xdr:blipFill>
      <xdr:spPr bwMode="auto">
        <a:xfrm>
          <a:off x="2335951" y="14133548"/>
          <a:ext cx="1212100" cy="1057796"/>
        </a:xfrm>
        <a:prstGeom prst="rect">
          <a:avLst/>
        </a:prstGeom>
        <a:noFill/>
      </xdr:spPr>
    </xdr:pic>
    <xdr:clientData/>
  </xdr:twoCellAnchor>
  <xdr:twoCellAnchor editAs="oneCell">
    <xdr:from>
      <xdr:col>2</xdr:col>
      <xdr:colOff>273050</xdr:colOff>
      <xdr:row>35</xdr:row>
      <xdr:rowOff>34925</xdr:rowOff>
    </xdr:from>
    <xdr:to>
      <xdr:col>2</xdr:col>
      <xdr:colOff>1116971</xdr:colOff>
      <xdr:row>39</xdr:row>
      <xdr:rowOff>159372</xdr:rowOff>
    </xdr:to>
    <xdr:pic>
      <xdr:nvPicPr>
        <xdr:cNvPr id="17" name="Picture 16" descr="Slide Fluid 2.jpg">
          <a:extLst>
            <a:ext uri="{FF2B5EF4-FFF2-40B4-BE49-F238E27FC236}">
              <a16:creationId xmlns:a16="http://schemas.microsoft.com/office/drawing/2014/main" id="{9C8641E4-6918-49ED-B0DD-7F699D8AC6C8}"/>
            </a:ext>
          </a:extLst>
        </xdr:cNvPr>
        <xdr:cNvPicPr>
          <a:picLocks noChangeAspect="1"/>
        </xdr:cNvPicPr>
      </xdr:nvPicPr>
      <xdr:blipFill>
        <a:blip xmlns:r="http://schemas.openxmlformats.org/officeDocument/2006/relationships" r:embed="rId11" cstate="email"/>
        <a:stretch>
          <a:fillRect/>
        </a:stretch>
      </xdr:blipFill>
      <xdr:spPr>
        <a:xfrm>
          <a:off x="2139950" y="7781925"/>
          <a:ext cx="843921" cy="829297"/>
        </a:xfrm>
        <a:prstGeom prst="rect">
          <a:avLst/>
        </a:prstGeom>
      </xdr:spPr>
    </xdr:pic>
    <xdr:clientData/>
  </xdr:twoCellAnchor>
  <xdr:twoCellAnchor editAs="oneCell">
    <xdr:from>
      <xdr:col>2</xdr:col>
      <xdr:colOff>203198</xdr:colOff>
      <xdr:row>24</xdr:row>
      <xdr:rowOff>176238</xdr:rowOff>
    </xdr:from>
    <xdr:to>
      <xdr:col>2</xdr:col>
      <xdr:colOff>1381374</xdr:colOff>
      <xdr:row>27</xdr:row>
      <xdr:rowOff>198199</xdr:rowOff>
    </xdr:to>
    <xdr:pic>
      <xdr:nvPicPr>
        <xdr:cNvPr id="18" name="Picture 17" descr="L Key.png">
          <a:extLst>
            <a:ext uri="{FF2B5EF4-FFF2-40B4-BE49-F238E27FC236}">
              <a16:creationId xmlns:a16="http://schemas.microsoft.com/office/drawing/2014/main" id="{FF18B161-A83D-454A-8746-D8D4AFC7AABA}"/>
            </a:ext>
          </a:extLst>
        </xdr:cNvPr>
        <xdr:cNvPicPr>
          <a:picLocks noChangeAspect="1"/>
        </xdr:cNvPicPr>
      </xdr:nvPicPr>
      <xdr:blipFill>
        <a:blip xmlns:r="http://schemas.openxmlformats.org/officeDocument/2006/relationships" r:embed="rId12" cstate="email"/>
        <a:stretch>
          <a:fillRect/>
        </a:stretch>
      </xdr:blipFill>
      <xdr:spPr>
        <a:xfrm rot="1067468">
          <a:off x="2070098" y="6030938"/>
          <a:ext cx="1178176" cy="726811"/>
        </a:xfrm>
        <a:prstGeom prst="rect">
          <a:avLst/>
        </a:prstGeom>
      </xdr:spPr>
    </xdr:pic>
    <xdr:clientData/>
  </xdr:twoCellAnchor>
  <xdr:twoCellAnchor>
    <xdr:from>
      <xdr:col>1</xdr:col>
      <xdr:colOff>7057</xdr:colOff>
      <xdr:row>41</xdr:row>
      <xdr:rowOff>134055</xdr:rowOff>
    </xdr:from>
    <xdr:to>
      <xdr:col>2</xdr:col>
      <xdr:colOff>352779</xdr:colOff>
      <xdr:row>47</xdr:row>
      <xdr:rowOff>134056</xdr:rowOff>
    </xdr:to>
    <xdr:sp macro="" textlink="">
      <xdr:nvSpPr>
        <xdr:cNvPr id="21" name="TextBox 20">
          <a:extLst>
            <a:ext uri="{FF2B5EF4-FFF2-40B4-BE49-F238E27FC236}">
              <a16:creationId xmlns:a16="http://schemas.microsoft.com/office/drawing/2014/main" id="{2D9C98EF-067E-436D-8F8E-0964D0E3ED16}"/>
            </a:ext>
          </a:extLst>
        </xdr:cNvPr>
        <xdr:cNvSpPr txBox="1"/>
      </xdr:nvSpPr>
      <xdr:spPr>
        <a:xfrm>
          <a:off x="70557" y="9017705"/>
          <a:ext cx="2149122" cy="1066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3/4" - 2" sizes do not require spanner wrenches for installation - fittings are push to connect (see assembly instructions).  </a:t>
          </a:r>
        </a:p>
      </xdr:txBody>
    </xdr:sp>
    <xdr:clientData/>
  </xdr:twoCellAnchor>
  <xdr:twoCellAnchor>
    <xdr:from>
      <xdr:col>1</xdr:col>
      <xdr:colOff>1319389</xdr:colOff>
      <xdr:row>59</xdr:row>
      <xdr:rowOff>42333</xdr:rowOff>
    </xdr:from>
    <xdr:to>
      <xdr:col>2</xdr:col>
      <xdr:colOff>493889</xdr:colOff>
      <xdr:row>64</xdr:row>
      <xdr:rowOff>162278</xdr:rowOff>
    </xdr:to>
    <xdr:sp macro="" textlink="">
      <xdr:nvSpPr>
        <xdr:cNvPr id="22" name="TextBox 21">
          <a:hlinkClick xmlns:r="http://schemas.openxmlformats.org/officeDocument/2006/relationships" r:id="rId13"/>
          <a:extLst>
            <a:ext uri="{FF2B5EF4-FFF2-40B4-BE49-F238E27FC236}">
              <a16:creationId xmlns:a16="http://schemas.microsoft.com/office/drawing/2014/main" id="{C0133EF7-DD24-4B0B-ADC2-756F282B419B}"/>
            </a:ext>
          </a:extLst>
        </xdr:cNvPr>
        <xdr:cNvSpPr txBox="1"/>
      </xdr:nvSpPr>
      <xdr:spPr>
        <a:xfrm>
          <a:off x="1382889" y="12310533"/>
          <a:ext cx="977900" cy="1008945"/>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Click here to see content of tool Kits</a:t>
          </a:r>
        </a:p>
      </xdr:txBody>
    </xdr:sp>
    <xdr:clientData/>
  </xdr:twoCellAnchor>
  <xdr:twoCellAnchor editAs="oneCell">
    <xdr:from>
      <xdr:col>2</xdr:col>
      <xdr:colOff>83257</xdr:colOff>
      <xdr:row>13</xdr:row>
      <xdr:rowOff>25400</xdr:rowOff>
    </xdr:from>
    <xdr:to>
      <xdr:col>2</xdr:col>
      <xdr:colOff>1749426</xdr:colOff>
      <xdr:row>14</xdr:row>
      <xdr:rowOff>228022</xdr:rowOff>
    </xdr:to>
    <xdr:pic>
      <xdr:nvPicPr>
        <xdr:cNvPr id="25" name="Picture 24">
          <a:extLst>
            <a:ext uri="{FF2B5EF4-FFF2-40B4-BE49-F238E27FC236}">
              <a16:creationId xmlns:a16="http://schemas.microsoft.com/office/drawing/2014/main" id="{6A1335BE-9C15-4EAB-9815-81E76D2CF6C7}"/>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9066" t="42124" r="20617" b="33954"/>
        <a:stretch/>
      </xdr:blipFill>
      <xdr:spPr>
        <a:xfrm>
          <a:off x="1950157" y="3530600"/>
          <a:ext cx="1666169" cy="437572"/>
        </a:xfrm>
        <a:prstGeom prst="rect">
          <a:avLst/>
        </a:prstGeom>
      </xdr:spPr>
    </xdr:pic>
    <xdr:clientData/>
  </xdr:twoCellAnchor>
  <xdr:twoCellAnchor editAs="oneCell">
    <xdr:from>
      <xdr:col>2</xdr:col>
      <xdr:colOff>139699</xdr:colOff>
      <xdr:row>8</xdr:row>
      <xdr:rowOff>26273</xdr:rowOff>
    </xdr:from>
    <xdr:to>
      <xdr:col>2</xdr:col>
      <xdr:colOff>1608300</xdr:colOff>
      <xdr:row>12</xdr:row>
      <xdr:rowOff>0</xdr:rowOff>
    </xdr:to>
    <xdr:pic>
      <xdr:nvPicPr>
        <xdr:cNvPr id="30" name="Picture 29">
          <a:extLst>
            <a:ext uri="{FF2B5EF4-FFF2-40B4-BE49-F238E27FC236}">
              <a16:creationId xmlns:a16="http://schemas.microsoft.com/office/drawing/2014/main" id="{F86E728A-8005-4823-833A-9AA7240BA4E2}"/>
            </a:ext>
          </a:extLst>
        </xdr:cNvPr>
        <xdr:cNvPicPr>
          <a:picLocks noChangeAspect="1"/>
        </xdr:cNvPicPr>
      </xdr:nvPicPr>
      <xdr:blipFill>
        <a:blip xmlns:r="http://schemas.openxmlformats.org/officeDocument/2006/relationships" r:embed="rId15"/>
        <a:stretch>
          <a:fillRect/>
        </a:stretch>
      </xdr:blipFill>
      <xdr:spPr>
        <a:xfrm>
          <a:off x="2006599" y="2051923"/>
          <a:ext cx="1468601" cy="913527"/>
        </a:xfrm>
        <a:prstGeom prst="rect">
          <a:avLst/>
        </a:prstGeom>
      </xdr:spPr>
    </xdr:pic>
    <xdr:clientData/>
  </xdr:twoCellAnchor>
  <xdr:twoCellAnchor editAs="oneCell">
    <xdr:from>
      <xdr:col>2</xdr:col>
      <xdr:colOff>1009650</xdr:colOff>
      <xdr:row>55</xdr:row>
      <xdr:rowOff>90310</xdr:rowOff>
    </xdr:from>
    <xdr:to>
      <xdr:col>2</xdr:col>
      <xdr:colOff>1192389</xdr:colOff>
      <xdr:row>57</xdr:row>
      <xdr:rowOff>95385</xdr:rowOff>
    </xdr:to>
    <xdr:pic>
      <xdr:nvPicPr>
        <xdr:cNvPr id="38" name="Picture 37">
          <a:extLst>
            <a:ext uri="{FF2B5EF4-FFF2-40B4-BE49-F238E27FC236}">
              <a16:creationId xmlns:a16="http://schemas.microsoft.com/office/drawing/2014/main" id="{3AAD87F5-1A2E-46D5-B3F0-E9AC0F77637F}"/>
            </a:ext>
          </a:extLst>
        </xdr:cNvPr>
        <xdr:cNvPicPr>
          <a:picLocks noChangeAspect="1"/>
        </xdr:cNvPicPr>
      </xdr:nvPicPr>
      <xdr:blipFill>
        <a:blip xmlns:r="http://schemas.openxmlformats.org/officeDocument/2006/relationships" r:embed="rId16"/>
        <a:stretch>
          <a:fillRect/>
        </a:stretch>
      </xdr:blipFill>
      <xdr:spPr>
        <a:xfrm>
          <a:off x="2876550" y="12993510"/>
          <a:ext cx="176389" cy="474975"/>
        </a:xfrm>
        <a:prstGeom prst="rect">
          <a:avLst/>
        </a:prstGeom>
      </xdr:spPr>
    </xdr:pic>
    <xdr:clientData/>
  </xdr:twoCellAnchor>
  <xdr:oneCellAnchor>
    <xdr:from>
      <xdr:col>1</xdr:col>
      <xdr:colOff>1760218</xdr:colOff>
      <xdr:row>22</xdr:row>
      <xdr:rowOff>8468</xdr:rowOff>
    </xdr:from>
    <xdr:ext cx="1646409" cy="351719"/>
    <xdr:pic>
      <xdr:nvPicPr>
        <xdr:cNvPr id="39" name="Picture 56">
          <a:extLst>
            <a:ext uri="{FF2B5EF4-FFF2-40B4-BE49-F238E27FC236}">
              <a16:creationId xmlns:a16="http://schemas.microsoft.com/office/drawing/2014/main" id="{11EE8ABC-C40B-4666-A835-309BA2343FDA}"/>
            </a:ext>
          </a:extLst>
        </xdr:cNvPr>
        <xdr:cNvPicPr>
          <a:picLocks noChangeAspect="1" noChangeArrowheads="1"/>
        </xdr:cNvPicPr>
      </xdr:nvPicPr>
      <xdr:blipFill>
        <a:blip xmlns:r="http://schemas.openxmlformats.org/officeDocument/2006/relationships" r:embed="rId1" cstate="email"/>
        <a:srcRect l="20770" t="50694" r="32151" b="33334"/>
        <a:stretch>
          <a:fillRect/>
        </a:stretch>
      </xdr:blipFill>
      <xdr:spPr bwMode="auto">
        <a:xfrm>
          <a:off x="1823718" y="5158318"/>
          <a:ext cx="1646409" cy="351719"/>
        </a:xfrm>
        <a:prstGeom prst="rect">
          <a:avLst/>
        </a:prstGeom>
        <a:noFill/>
      </xdr:spPr>
    </xdr:pic>
    <xdr:clientData/>
  </xdr:oneCellAnchor>
  <xdr:oneCellAnchor>
    <xdr:from>
      <xdr:col>2</xdr:col>
      <xdr:colOff>622300</xdr:colOff>
      <xdr:row>16</xdr:row>
      <xdr:rowOff>0</xdr:rowOff>
    </xdr:from>
    <xdr:ext cx="749300" cy="941356"/>
    <xdr:pic>
      <xdr:nvPicPr>
        <xdr:cNvPr id="40" name="Picture 39" descr="Hole Saws.png">
          <a:extLst>
            <a:ext uri="{FF2B5EF4-FFF2-40B4-BE49-F238E27FC236}">
              <a16:creationId xmlns:a16="http://schemas.microsoft.com/office/drawing/2014/main" id="{BB981851-60CD-4672-8BEE-5604777F192B}"/>
            </a:ext>
          </a:extLst>
        </xdr:cNvPr>
        <xdr:cNvPicPr>
          <a:picLocks noChangeAspect="1"/>
        </xdr:cNvPicPr>
      </xdr:nvPicPr>
      <xdr:blipFill>
        <a:blip xmlns:r="http://schemas.openxmlformats.org/officeDocument/2006/relationships" r:embed="rId17" cstate="email"/>
        <a:stretch>
          <a:fillRect/>
        </a:stretch>
      </xdr:blipFill>
      <xdr:spPr>
        <a:xfrm>
          <a:off x="2489200" y="4210050"/>
          <a:ext cx="749300" cy="941356"/>
        </a:xfrm>
        <a:prstGeom prst="rect">
          <a:avLst/>
        </a:prstGeom>
      </xdr:spPr>
    </xdr:pic>
    <xdr:clientData/>
  </xdr:oneCellAnchor>
  <xdr:twoCellAnchor>
    <xdr:from>
      <xdr:col>1</xdr:col>
      <xdr:colOff>954618</xdr:colOff>
      <xdr:row>17</xdr:row>
      <xdr:rowOff>162279</xdr:rowOff>
    </xdr:from>
    <xdr:to>
      <xdr:col>2</xdr:col>
      <xdr:colOff>447675</xdr:colOff>
      <xdr:row>20</xdr:row>
      <xdr:rowOff>104775</xdr:rowOff>
    </xdr:to>
    <xdr:sp macro="" textlink="">
      <xdr:nvSpPr>
        <xdr:cNvPr id="41" name="TextBox 40">
          <a:extLst>
            <a:ext uri="{FF2B5EF4-FFF2-40B4-BE49-F238E27FC236}">
              <a16:creationId xmlns:a16="http://schemas.microsoft.com/office/drawing/2014/main" id="{27EB1E57-4A0E-4467-9D77-D464ED6F3E2C}"/>
            </a:ext>
          </a:extLst>
        </xdr:cNvPr>
        <xdr:cNvSpPr txBox="1"/>
      </xdr:nvSpPr>
      <xdr:spPr>
        <a:xfrm>
          <a:off x="1018118" y="4137379"/>
          <a:ext cx="1296457" cy="6473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Holes saw used to installation of Quick Drops</a:t>
          </a:r>
        </a:p>
      </xdr:txBody>
    </xdr:sp>
    <xdr:clientData/>
  </xdr:twoCellAnchor>
  <xdr:twoCellAnchor>
    <xdr:from>
      <xdr:col>1</xdr:col>
      <xdr:colOff>228600</xdr:colOff>
      <xdr:row>35</xdr:row>
      <xdr:rowOff>57150</xdr:rowOff>
    </xdr:from>
    <xdr:to>
      <xdr:col>1</xdr:col>
      <xdr:colOff>1115131</xdr:colOff>
      <xdr:row>39</xdr:row>
      <xdr:rowOff>172509</xdr:rowOff>
    </xdr:to>
    <xdr:sp macro="" textlink="">
      <xdr:nvSpPr>
        <xdr:cNvPr id="42" name="TextBox 41">
          <a:extLst>
            <a:ext uri="{FF2B5EF4-FFF2-40B4-BE49-F238E27FC236}">
              <a16:creationId xmlns:a16="http://schemas.microsoft.com/office/drawing/2014/main" id="{035784E4-4781-48BE-9F7B-A5ABE511C0A1}"/>
            </a:ext>
          </a:extLst>
        </xdr:cNvPr>
        <xdr:cNvSpPr txBox="1"/>
      </xdr:nvSpPr>
      <xdr:spPr>
        <a:xfrm>
          <a:off x="292100" y="8496300"/>
          <a:ext cx="886531" cy="8202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A must for sizes 1 1/2" or greater.</a:t>
          </a:r>
        </a:p>
      </xdr:txBody>
    </xdr:sp>
    <xdr:clientData/>
  </xdr:twoCellAnchor>
  <xdr:oneCellAnchor>
    <xdr:from>
      <xdr:col>2</xdr:col>
      <xdr:colOff>259647</xdr:colOff>
      <xdr:row>41</xdr:row>
      <xdr:rowOff>126294</xdr:rowOff>
    </xdr:from>
    <xdr:ext cx="1534318" cy="673805"/>
    <xdr:pic>
      <xdr:nvPicPr>
        <xdr:cNvPr id="3" name="Picture 2">
          <a:extLst>
            <a:ext uri="{FF2B5EF4-FFF2-40B4-BE49-F238E27FC236}">
              <a16:creationId xmlns:a16="http://schemas.microsoft.com/office/drawing/2014/main" id="{94F27AFA-BA5F-4A15-95F0-44A7CF50825C}"/>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5099" t="29699" r="13722" b="22712"/>
        <a:stretch/>
      </xdr:blipFill>
      <xdr:spPr>
        <a:xfrm>
          <a:off x="2126547" y="9740194"/>
          <a:ext cx="1534318" cy="673805"/>
        </a:xfrm>
        <a:prstGeom prst="round2DiagRect">
          <a:avLst>
            <a:gd name="adj1" fmla="val 0"/>
            <a:gd name="adj2" fmla="val 0"/>
          </a:avLst>
        </a:prstGeom>
        <a:ln w="3175" cap="sq">
          <a:noFill/>
          <a:miter lim="800000"/>
        </a:ln>
        <a:effectLst/>
      </xdr:spPr>
    </xdr:pic>
    <xdr:clientData/>
  </xdr:oneCellAnchor>
  <xdr:twoCellAnchor editAs="oneCell">
    <xdr:from>
      <xdr:col>1</xdr:col>
      <xdr:colOff>1689099</xdr:colOff>
      <xdr:row>29</xdr:row>
      <xdr:rowOff>146050</xdr:rowOff>
    </xdr:from>
    <xdr:to>
      <xdr:col>2</xdr:col>
      <xdr:colOff>1722090</xdr:colOff>
      <xdr:row>33</xdr:row>
      <xdr:rowOff>161925</xdr:rowOff>
    </xdr:to>
    <xdr:pic>
      <xdr:nvPicPr>
        <xdr:cNvPr id="5" name="Picture 4">
          <a:extLst>
            <a:ext uri="{FF2B5EF4-FFF2-40B4-BE49-F238E27FC236}">
              <a16:creationId xmlns:a16="http://schemas.microsoft.com/office/drawing/2014/main" id="{D97BE0FA-B5CA-4FD6-88C5-13D87901D31E}"/>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0306" t="26175" r="24177" b="27223"/>
        <a:stretch/>
      </xdr:blipFill>
      <xdr:spPr>
        <a:xfrm>
          <a:off x="1752599" y="7175500"/>
          <a:ext cx="1833216" cy="958850"/>
        </a:xfrm>
        <a:prstGeom prst="rect">
          <a:avLst/>
        </a:prstGeom>
      </xdr:spPr>
    </xdr:pic>
    <xdr:clientData/>
  </xdr:twoCellAnchor>
  <xdr:twoCellAnchor editAs="oneCell">
    <xdr:from>
      <xdr:col>1</xdr:col>
      <xdr:colOff>424815</xdr:colOff>
      <xdr:row>8</xdr:row>
      <xdr:rowOff>69850</xdr:rowOff>
    </xdr:from>
    <xdr:to>
      <xdr:col>1</xdr:col>
      <xdr:colOff>1638300</xdr:colOff>
      <xdr:row>13</xdr:row>
      <xdr:rowOff>9860</xdr:rowOff>
    </xdr:to>
    <xdr:pic>
      <xdr:nvPicPr>
        <xdr:cNvPr id="9" name="Picture 8">
          <a:extLst>
            <a:ext uri="{FF2B5EF4-FFF2-40B4-BE49-F238E27FC236}">
              <a16:creationId xmlns:a16="http://schemas.microsoft.com/office/drawing/2014/main" id="{73B35A0A-8D5A-45CC-9B12-BB293F3E4951}"/>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25823" t="26427" r="29852" b="8186"/>
        <a:stretch/>
      </xdr:blipFill>
      <xdr:spPr>
        <a:xfrm>
          <a:off x="488315" y="2400300"/>
          <a:ext cx="1213485" cy="11115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1276773</xdr:colOff>
      <xdr:row>12</xdr:row>
      <xdr:rowOff>128693</xdr:rowOff>
    </xdr:from>
    <xdr:to>
      <xdr:col>2</xdr:col>
      <xdr:colOff>1735298</xdr:colOff>
      <xdr:row>19</xdr:row>
      <xdr:rowOff>122343</xdr:rowOff>
    </xdr:to>
    <xdr:pic>
      <xdr:nvPicPr>
        <xdr:cNvPr id="9" name="Picture 8" descr="IMG_5621.JPG">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1" cstate="email">
          <a:lum bright="10000"/>
        </a:blip>
        <a:srcRect/>
        <a:stretch>
          <a:fillRect/>
        </a:stretch>
      </xdr:blipFill>
      <xdr:spPr>
        <a:xfrm>
          <a:off x="1336040" y="2854960"/>
          <a:ext cx="2228058" cy="1303866"/>
        </a:xfrm>
        <a:prstGeom prst="rect">
          <a:avLst/>
        </a:prstGeom>
      </xdr:spPr>
    </xdr:pic>
    <xdr:clientData/>
  </xdr:twoCellAnchor>
  <xdr:twoCellAnchor editAs="oneCell">
    <xdr:from>
      <xdr:col>2</xdr:col>
      <xdr:colOff>347133</xdr:colOff>
      <xdr:row>43</xdr:row>
      <xdr:rowOff>40289</xdr:rowOff>
    </xdr:from>
    <xdr:to>
      <xdr:col>2</xdr:col>
      <xdr:colOff>1320800</xdr:colOff>
      <xdr:row>50</xdr:row>
      <xdr:rowOff>103220</xdr:rowOff>
    </xdr:to>
    <xdr:pic>
      <xdr:nvPicPr>
        <xdr:cNvPr id="11" name="Picture 10" descr="Couplers 22.1.jpg">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2" cstate="email">
          <a:lum bright="10000"/>
        </a:blip>
        <a:srcRect r="6616"/>
        <a:stretch>
          <a:fillRect/>
        </a:stretch>
      </xdr:blipFill>
      <xdr:spPr>
        <a:xfrm>
          <a:off x="2175933" y="7270822"/>
          <a:ext cx="973667" cy="1028204"/>
        </a:xfrm>
        <a:prstGeom prst="rect">
          <a:avLst/>
        </a:prstGeom>
      </xdr:spPr>
    </xdr:pic>
    <xdr:clientData/>
  </xdr:twoCellAnchor>
  <xdr:twoCellAnchor editAs="oneCell">
    <xdr:from>
      <xdr:col>2</xdr:col>
      <xdr:colOff>112392</xdr:colOff>
      <xdr:row>58</xdr:row>
      <xdr:rowOff>33866</xdr:rowOff>
    </xdr:from>
    <xdr:to>
      <xdr:col>2</xdr:col>
      <xdr:colOff>1636789</xdr:colOff>
      <xdr:row>62</xdr:row>
      <xdr:rowOff>266700</xdr:rowOff>
    </xdr:to>
    <xdr:pic>
      <xdr:nvPicPr>
        <xdr:cNvPr id="12" name="Picture 11" descr="IMG_5584.JPG">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3" cstate="email">
          <a:lum bright="10000"/>
        </a:blip>
        <a:srcRect r="7430"/>
        <a:stretch>
          <a:fillRect/>
        </a:stretch>
      </xdr:blipFill>
      <xdr:spPr>
        <a:xfrm>
          <a:off x="1979292" y="8701616"/>
          <a:ext cx="1524397" cy="766234"/>
        </a:xfrm>
        <a:prstGeom prst="rect">
          <a:avLst/>
        </a:prstGeom>
      </xdr:spPr>
    </xdr:pic>
    <xdr:clientData/>
  </xdr:twoCellAnchor>
  <xdr:twoCellAnchor>
    <xdr:from>
      <xdr:col>1</xdr:col>
      <xdr:colOff>24553</xdr:colOff>
      <xdr:row>0</xdr:row>
      <xdr:rowOff>203479</xdr:rowOff>
    </xdr:from>
    <xdr:to>
      <xdr:col>2</xdr:col>
      <xdr:colOff>1569720</xdr:colOff>
      <xdr:row>0</xdr:row>
      <xdr:rowOff>482320</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94403" y="200304"/>
          <a:ext cx="3345392" cy="285191"/>
          <a:chOff x="83820" y="203480"/>
          <a:chExt cx="3314700" cy="278841"/>
        </a:xfrm>
      </xdr:grpSpPr>
      <xdr:sp macro="" textlink="">
        <xdr:nvSpPr>
          <xdr:cNvPr id="24" name="TextBox 23">
            <a:hlinkClick xmlns:r="http://schemas.openxmlformats.org/officeDocument/2006/relationships" r:id="rId4"/>
            <a:extLst>
              <a:ext uri="{FF2B5EF4-FFF2-40B4-BE49-F238E27FC236}">
                <a16:creationId xmlns:a16="http://schemas.microsoft.com/office/drawing/2014/main" id="{00000000-0008-0000-0C00-000018000000}"/>
              </a:ext>
            </a:extLst>
          </xdr:cNvPr>
          <xdr:cNvSpPr txBox="1"/>
        </xdr:nvSpPr>
        <xdr:spPr>
          <a:xfrm>
            <a:off x="83820" y="203480"/>
            <a:ext cx="144780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5" name="TextBox 24">
            <a:hlinkClick xmlns:r="http://schemas.openxmlformats.org/officeDocument/2006/relationships" r:id="rId5"/>
            <a:extLst>
              <a:ext uri="{FF2B5EF4-FFF2-40B4-BE49-F238E27FC236}">
                <a16:creationId xmlns:a16="http://schemas.microsoft.com/office/drawing/2014/main" id="{00000000-0008-0000-0C00-000019000000}"/>
              </a:ext>
            </a:extLst>
          </xdr:cNvPr>
          <xdr:cNvSpPr txBox="1"/>
        </xdr:nvSpPr>
        <xdr:spPr>
          <a:xfrm>
            <a:off x="1859280" y="203480"/>
            <a:ext cx="153924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8</xdr:col>
      <xdr:colOff>6350</xdr:colOff>
      <xdr:row>60</xdr:row>
      <xdr:rowOff>95250</xdr:rowOff>
    </xdr:from>
    <xdr:to>
      <xdr:col>10</xdr:col>
      <xdr:colOff>774700</xdr:colOff>
      <xdr:row>62</xdr:row>
      <xdr:rowOff>209550</xdr:rowOff>
    </xdr:to>
    <xdr:sp macro="" textlink="">
      <xdr:nvSpPr>
        <xdr:cNvPr id="27" name="TextBox 26">
          <a:hlinkClick xmlns:r="http://schemas.openxmlformats.org/officeDocument/2006/relationships" r:id="rId6" tooltip="Return to Top of Page"/>
          <a:extLst>
            <a:ext uri="{FF2B5EF4-FFF2-40B4-BE49-F238E27FC236}">
              <a16:creationId xmlns:a16="http://schemas.microsoft.com/office/drawing/2014/main" id="{00000000-0008-0000-0C00-00001B000000}"/>
            </a:ext>
          </a:extLst>
        </xdr:cNvPr>
        <xdr:cNvSpPr txBox="1"/>
      </xdr:nvSpPr>
      <xdr:spPr>
        <a:xfrm>
          <a:off x="9785350" y="8864600"/>
          <a:ext cx="1593850" cy="29210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1</xdr:col>
      <xdr:colOff>141111</xdr:colOff>
      <xdr:row>12</xdr:row>
      <xdr:rowOff>162278</xdr:rowOff>
    </xdr:from>
    <xdr:to>
      <xdr:col>1</xdr:col>
      <xdr:colOff>1298543</xdr:colOff>
      <xdr:row>19</xdr:row>
      <xdr:rowOff>58758</xdr:rowOff>
    </xdr:to>
    <xdr:pic>
      <xdr:nvPicPr>
        <xdr:cNvPr id="26" name="Picture 25" descr="http://www.downwindmarine.com/images/P/891187.jpg">
          <a:extLst>
            <a:ext uri="{FF2B5EF4-FFF2-40B4-BE49-F238E27FC236}">
              <a16:creationId xmlns:a16="http://schemas.microsoft.com/office/drawing/2014/main" id="{85843FB0-A45F-4B63-A4C7-152599CED23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4611" y="3033889"/>
          <a:ext cx="1157432" cy="1131202"/>
        </a:xfrm>
        <a:prstGeom prst="round2DiagRect">
          <a:avLst>
            <a:gd name="adj1" fmla="val 244"/>
            <a:gd name="adj2" fmla="val 0"/>
          </a:avLst>
        </a:prstGeom>
        <a:ln w="127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243216</xdr:colOff>
      <xdr:row>22</xdr:row>
      <xdr:rowOff>161924</xdr:rowOff>
    </xdr:from>
    <xdr:to>
      <xdr:col>2</xdr:col>
      <xdr:colOff>1255889</xdr:colOff>
      <xdr:row>26</xdr:row>
      <xdr:rowOff>140425</xdr:rowOff>
    </xdr:to>
    <xdr:pic>
      <xdr:nvPicPr>
        <xdr:cNvPr id="4" name="Picture 3">
          <a:extLst>
            <a:ext uri="{FF2B5EF4-FFF2-40B4-BE49-F238E27FC236}">
              <a16:creationId xmlns:a16="http://schemas.microsoft.com/office/drawing/2014/main" id="{CC1A1DD7-1DD4-4E03-9310-CC98FC0374A4}"/>
            </a:ext>
          </a:extLst>
        </xdr:cNvPr>
        <xdr:cNvPicPr>
          <a:picLocks noChangeAspect="1"/>
        </xdr:cNvPicPr>
      </xdr:nvPicPr>
      <xdr:blipFill>
        <a:blip xmlns:r="http://schemas.openxmlformats.org/officeDocument/2006/relationships" r:embed="rId8"/>
        <a:stretch>
          <a:fillRect/>
        </a:stretch>
      </xdr:blipFill>
      <xdr:spPr>
        <a:xfrm>
          <a:off x="2110116" y="4895849"/>
          <a:ext cx="1012673" cy="702401"/>
        </a:xfrm>
        <a:prstGeom prst="rect">
          <a:avLst/>
        </a:prstGeom>
      </xdr:spPr>
    </xdr:pic>
    <xdr:clientData/>
  </xdr:twoCellAnchor>
  <xdr:twoCellAnchor editAs="oneCell">
    <xdr:from>
      <xdr:col>1</xdr:col>
      <xdr:colOff>133703</xdr:colOff>
      <xdr:row>3</xdr:row>
      <xdr:rowOff>21517</xdr:rowOff>
    </xdr:from>
    <xdr:to>
      <xdr:col>1</xdr:col>
      <xdr:colOff>896409</xdr:colOff>
      <xdr:row>11</xdr:row>
      <xdr:rowOff>11564</xdr:rowOff>
    </xdr:to>
    <xdr:pic>
      <xdr:nvPicPr>
        <xdr:cNvPr id="5" name="Picture 4">
          <a:extLst>
            <a:ext uri="{FF2B5EF4-FFF2-40B4-BE49-F238E27FC236}">
              <a16:creationId xmlns:a16="http://schemas.microsoft.com/office/drawing/2014/main" id="{6B15E80B-A517-4276-89FB-5D8EF5512B01}"/>
            </a:ext>
          </a:extLst>
        </xdr:cNvPr>
        <xdr:cNvPicPr>
          <a:picLocks noChangeAspect="1"/>
        </xdr:cNvPicPr>
      </xdr:nvPicPr>
      <xdr:blipFill>
        <a:blip xmlns:r="http://schemas.openxmlformats.org/officeDocument/2006/relationships" r:embed="rId9"/>
        <a:stretch>
          <a:fillRect/>
        </a:stretch>
      </xdr:blipFill>
      <xdr:spPr>
        <a:xfrm>
          <a:off x="197203" y="1323267"/>
          <a:ext cx="762706" cy="1423030"/>
        </a:xfrm>
        <a:prstGeom prst="rect">
          <a:avLst/>
        </a:prstGeom>
      </xdr:spPr>
    </xdr:pic>
    <xdr:clientData/>
  </xdr:twoCellAnchor>
  <xdr:twoCellAnchor editAs="oneCell">
    <xdr:from>
      <xdr:col>1</xdr:col>
      <xdr:colOff>1255889</xdr:colOff>
      <xdr:row>3</xdr:row>
      <xdr:rowOff>21854</xdr:rowOff>
    </xdr:from>
    <xdr:to>
      <xdr:col>1</xdr:col>
      <xdr:colOff>1630086</xdr:colOff>
      <xdr:row>10</xdr:row>
      <xdr:rowOff>120651</xdr:rowOff>
    </xdr:to>
    <xdr:pic>
      <xdr:nvPicPr>
        <xdr:cNvPr id="8" name="Picture 7">
          <a:extLst>
            <a:ext uri="{FF2B5EF4-FFF2-40B4-BE49-F238E27FC236}">
              <a16:creationId xmlns:a16="http://schemas.microsoft.com/office/drawing/2014/main" id="{2E55E820-A9FF-447F-A7F1-B6E81071849F}"/>
            </a:ext>
          </a:extLst>
        </xdr:cNvPr>
        <xdr:cNvPicPr>
          <a:picLocks noChangeAspect="1"/>
        </xdr:cNvPicPr>
      </xdr:nvPicPr>
      <xdr:blipFill>
        <a:blip xmlns:r="http://schemas.openxmlformats.org/officeDocument/2006/relationships" r:embed="rId10"/>
        <a:stretch>
          <a:fillRect/>
        </a:stretch>
      </xdr:blipFill>
      <xdr:spPr>
        <a:xfrm>
          <a:off x="1319389" y="1305965"/>
          <a:ext cx="374197" cy="1339869"/>
        </a:xfrm>
        <a:prstGeom prst="rect">
          <a:avLst/>
        </a:prstGeom>
      </xdr:spPr>
    </xdr:pic>
    <xdr:clientData/>
  </xdr:twoCellAnchor>
  <xdr:twoCellAnchor editAs="oneCell">
    <xdr:from>
      <xdr:col>2</xdr:col>
      <xdr:colOff>181430</xdr:colOff>
      <xdr:row>3</xdr:row>
      <xdr:rowOff>28222</xdr:rowOff>
    </xdr:from>
    <xdr:to>
      <xdr:col>2</xdr:col>
      <xdr:colOff>865448</xdr:colOff>
      <xdr:row>10</xdr:row>
      <xdr:rowOff>105833</xdr:rowOff>
    </xdr:to>
    <xdr:pic>
      <xdr:nvPicPr>
        <xdr:cNvPr id="14" name="Picture 13">
          <a:extLst>
            <a:ext uri="{FF2B5EF4-FFF2-40B4-BE49-F238E27FC236}">
              <a16:creationId xmlns:a16="http://schemas.microsoft.com/office/drawing/2014/main" id="{23757BED-E389-4169-B416-2A5BCFEBA419}"/>
            </a:ext>
          </a:extLst>
        </xdr:cNvPr>
        <xdr:cNvPicPr>
          <a:picLocks noChangeAspect="1"/>
        </xdr:cNvPicPr>
      </xdr:nvPicPr>
      <xdr:blipFill>
        <a:blip xmlns:r="http://schemas.openxmlformats.org/officeDocument/2006/relationships" r:embed="rId11"/>
        <a:stretch>
          <a:fillRect/>
        </a:stretch>
      </xdr:blipFill>
      <xdr:spPr>
        <a:xfrm>
          <a:off x="2051152" y="1312333"/>
          <a:ext cx="684018" cy="1312333"/>
        </a:xfrm>
        <a:prstGeom prst="rect">
          <a:avLst/>
        </a:prstGeom>
      </xdr:spPr>
    </xdr:pic>
    <xdr:clientData/>
  </xdr:twoCellAnchor>
  <xdr:twoCellAnchor editAs="oneCell">
    <xdr:from>
      <xdr:col>2</xdr:col>
      <xdr:colOff>1186644</xdr:colOff>
      <xdr:row>2</xdr:row>
      <xdr:rowOff>366888</xdr:rowOff>
    </xdr:from>
    <xdr:to>
      <xdr:col>2</xdr:col>
      <xdr:colOff>1608667</xdr:colOff>
      <xdr:row>10</xdr:row>
      <xdr:rowOff>134860</xdr:rowOff>
    </xdr:to>
    <xdr:pic>
      <xdr:nvPicPr>
        <xdr:cNvPr id="15" name="Picture 14">
          <a:extLst>
            <a:ext uri="{FF2B5EF4-FFF2-40B4-BE49-F238E27FC236}">
              <a16:creationId xmlns:a16="http://schemas.microsoft.com/office/drawing/2014/main" id="{472CA55E-4B05-4694-ABE6-980BF632CFF8}"/>
            </a:ext>
          </a:extLst>
        </xdr:cNvPr>
        <xdr:cNvPicPr>
          <a:picLocks noChangeAspect="1"/>
        </xdr:cNvPicPr>
      </xdr:nvPicPr>
      <xdr:blipFill>
        <a:blip xmlns:r="http://schemas.openxmlformats.org/officeDocument/2006/relationships" r:embed="rId12"/>
        <a:stretch>
          <a:fillRect/>
        </a:stretch>
      </xdr:blipFill>
      <xdr:spPr>
        <a:xfrm>
          <a:off x="3056366" y="1284110"/>
          <a:ext cx="422023" cy="1369583"/>
        </a:xfrm>
        <a:prstGeom prst="rect">
          <a:avLst/>
        </a:prstGeom>
      </xdr:spPr>
    </xdr:pic>
    <xdr:clientData/>
  </xdr:twoCellAnchor>
  <xdr:oneCellAnchor>
    <xdr:from>
      <xdr:col>2</xdr:col>
      <xdr:colOff>400050</xdr:colOff>
      <xdr:row>28</xdr:row>
      <xdr:rowOff>44450</xdr:rowOff>
    </xdr:from>
    <xdr:ext cx="995795" cy="995795"/>
    <xdr:pic>
      <xdr:nvPicPr>
        <xdr:cNvPr id="16" name="Picture 15">
          <a:extLst>
            <a:ext uri="{FF2B5EF4-FFF2-40B4-BE49-F238E27FC236}">
              <a16:creationId xmlns:a16="http://schemas.microsoft.com/office/drawing/2014/main" id="{B0F0F944-57C3-4CE9-9986-FE459EBEB72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66950" y="5778500"/>
          <a:ext cx="995795" cy="995795"/>
        </a:xfrm>
        <a:prstGeom prst="round2DiagRect">
          <a:avLst>
            <a:gd name="adj1" fmla="val 244"/>
            <a:gd name="adj2" fmla="val 0"/>
          </a:avLst>
        </a:prstGeom>
        <a:ln w="12700" cap="sq">
          <a:noFill/>
          <a:miter lim="800000"/>
        </a:ln>
        <a:effec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24553</xdr:colOff>
      <xdr:row>0</xdr:row>
      <xdr:rowOff>203479</xdr:rowOff>
    </xdr:from>
    <xdr:to>
      <xdr:col>2</xdr:col>
      <xdr:colOff>1569720</xdr:colOff>
      <xdr:row>0</xdr:row>
      <xdr:rowOff>482320</xdr:rowOff>
    </xdr:to>
    <xdr:grpSp>
      <xdr:nvGrpSpPr>
        <xdr:cNvPr id="13" name="Group 12">
          <a:extLst>
            <a:ext uri="{FF2B5EF4-FFF2-40B4-BE49-F238E27FC236}">
              <a16:creationId xmlns:a16="http://schemas.microsoft.com/office/drawing/2014/main" id="{00000000-0008-0000-0D00-00000D000000}"/>
            </a:ext>
          </a:extLst>
        </xdr:cNvPr>
        <xdr:cNvGrpSpPr/>
      </xdr:nvGrpSpPr>
      <xdr:grpSpPr>
        <a:xfrm>
          <a:off x="94403" y="200304"/>
          <a:ext cx="3345392" cy="285191"/>
          <a:chOff x="83820" y="203480"/>
          <a:chExt cx="3314700" cy="278841"/>
        </a:xfrm>
      </xdr:grpSpPr>
      <xdr:sp macro="" textlink="">
        <xdr:nvSpPr>
          <xdr:cNvPr id="15" name="TextBox 14">
            <a:hlinkClick xmlns:r="http://schemas.openxmlformats.org/officeDocument/2006/relationships" r:id="rId1"/>
            <a:extLst>
              <a:ext uri="{FF2B5EF4-FFF2-40B4-BE49-F238E27FC236}">
                <a16:creationId xmlns:a16="http://schemas.microsoft.com/office/drawing/2014/main" id="{00000000-0008-0000-0D00-00000F000000}"/>
              </a:ext>
            </a:extLst>
          </xdr:cNvPr>
          <xdr:cNvSpPr txBox="1"/>
        </xdr:nvSpPr>
        <xdr:spPr>
          <a:xfrm>
            <a:off x="83820" y="203480"/>
            <a:ext cx="144780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17" name="TextBox 16">
            <a:hlinkClick xmlns:r="http://schemas.openxmlformats.org/officeDocument/2006/relationships" r:id="rId2"/>
            <a:extLst>
              <a:ext uri="{FF2B5EF4-FFF2-40B4-BE49-F238E27FC236}">
                <a16:creationId xmlns:a16="http://schemas.microsoft.com/office/drawing/2014/main" id="{00000000-0008-0000-0D00-000011000000}"/>
              </a:ext>
            </a:extLst>
          </xdr:cNvPr>
          <xdr:cNvSpPr txBox="1"/>
        </xdr:nvSpPr>
        <xdr:spPr>
          <a:xfrm>
            <a:off x="1859280" y="203480"/>
            <a:ext cx="153924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editAs="oneCell">
    <xdr:from>
      <xdr:col>1</xdr:col>
      <xdr:colOff>1802471</xdr:colOff>
      <xdr:row>2</xdr:row>
      <xdr:rowOff>0</xdr:rowOff>
    </xdr:from>
    <xdr:to>
      <xdr:col>2</xdr:col>
      <xdr:colOff>1636889</xdr:colOff>
      <xdr:row>1048576</xdr:row>
      <xdr:rowOff>180975</xdr:rowOff>
    </xdr:to>
    <xdr:pic>
      <xdr:nvPicPr>
        <xdr:cNvPr id="16" name="Picture 15" descr="Accessories 4.png">
          <a:extLst>
            <a:ext uri="{FF2B5EF4-FFF2-40B4-BE49-F238E27FC236}">
              <a16:creationId xmlns:a16="http://schemas.microsoft.com/office/drawing/2014/main" id="{00000000-0008-0000-0D00-000010000000}"/>
            </a:ext>
          </a:extLst>
        </xdr:cNvPr>
        <xdr:cNvPicPr>
          <a:picLocks noChangeAspect="1"/>
        </xdr:cNvPicPr>
      </xdr:nvPicPr>
      <xdr:blipFill rotWithShape="1">
        <a:blip xmlns:r="http://schemas.openxmlformats.org/officeDocument/2006/relationships" r:embed="rId3" cstate="email"/>
        <a:srcRect l="-4587" t="7224" r="-4587" b="7224"/>
        <a:stretch/>
      </xdr:blipFill>
      <xdr:spPr>
        <a:xfrm>
          <a:off x="1865971" y="3209840"/>
          <a:ext cx="1640640" cy="105877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184149</xdr:colOff>
      <xdr:row>3</xdr:row>
      <xdr:rowOff>25400</xdr:rowOff>
    </xdr:from>
    <xdr:to>
      <xdr:col>15</xdr:col>
      <xdr:colOff>180530</xdr:colOff>
      <xdr:row>29</xdr:row>
      <xdr:rowOff>57150</xdr:rowOff>
    </xdr:to>
    <xdr:pic>
      <xdr:nvPicPr>
        <xdr:cNvPr id="3" name="Picture 2">
          <a:extLst>
            <a:ext uri="{FF2B5EF4-FFF2-40B4-BE49-F238E27FC236}">
              <a16:creationId xmlns:a16="http://schemas.microsoft.com/office/drawing/2014/main" id="{A0EEAAB8-DE55-4E21-9C8E-A544F5AA3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449" y="577850"/>
          <a:ext cx="8530781" cy="481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36</xdr:row>
      <xdr:rowOff>51635</xdr:rowOff>
    </xdr:from>
    <xdr:to>
      <xdr:col>15</xdr:col>
      <xdr:colOff>165099</xdr:colOff>
      <xdr:row>62</xdr:row>
      <xdr:rowOff>152400</xdr:rowOff>
    </xdr:to>
    <xdr:pic>
      <xdr:nvPicPr>
        <xdr:cNvPr id="4" name="Picture 3">
          <a:extLst>
            <a:ext uri="{FF2B5EF4-FFF2-40B4-BE49-F238E27FC236}">
              <a16:creationId xmlns:a16="http://schemas.microsoft.com/office/drawing/2014/main" id="{0DB24C69-7D24-4303-8C62-346B53A10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00" y="6681035"/>
          <a:ext cx="8528049" cy="4888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165100</xdr:colOff>
      <xdr:row>2</xdr:row>
      <xdr:rowOff>19050</xdr:rowOff>
    </xdr:from>
    <xdr:to>
      <xdr:col>15</xdr:col>
      <xdr:colOff>152400</xdr:colOff>
      <xdr:row>3</xdr:row>
      <xdr:rowOff>25400</xdr:rowOff>
    </xdr:to>
    <xdr:sp macro="" textlink="">
      <xdr:nvSpPr>
        <xdr:cNvPr id="2" name="TextBox 1">
          <a:extLst>
            <a:ext uri="{FF2B5EF4-FFF2-40B4-BE49-F238E27FC236}">
              <a16:creationId xmlns:a16="http://schemas.microsoft.com/office/drawing/2014/main" id="{A3FD99FB-16D4-484C-B66F-50406C43E7B4}"/>
            </a:ext>
          </a:extLst>
        </xdr:cNvPr>
        <xdr:cNvSpPr txBox="1"/>
      </xdr:nvSpPr>
      <xdr:spPr>
        <a:xfrm>
          <a:off x="4502150" y="603250"/>
          <a:ext cx="4254500" cy="26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6">
                  <a:lumMod val="75000"/>
                </a:schemeClr>
              </a:solidFill>
            </a:rPr>
            <a:t>***Contents</a:t>
          </a:r>
          <a:r>
            <a:rPr lang="en-US" sz="1100" b="1" baseline="0">
              <a:solidFill>
                <a:schemeClr val="accent6">
                  <a:lumMod val="75000"/>
                </a:schemeClr>
              </a:solidFill>
            </a:rPr>
            <a:t> of tool kits are subject to change without notification***</a:t>
          </a:r>
          <a:endParaRPr lang="en-US" sz="1100" b="1">
            <a:solidFill>
              <a:schemeClr val="accent6">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1552576</xdr:colOff>
      <xdr:row>0</xdr:row>
      <xdr:rowOff>352425</xdr:rowOff>
    </xdr:to>
    <xdr:sp macro="" textlink="">
      <xdr:nvSpPr>
        <xdr:cNvPr id="4" name="TextBox 3">
          <a:hlinkClick xmlns:r="http://schemas.openxmlformats.org/officeDocument/2006/relationships" r:id="rId1" tooltip="Go To Bill of Material Screen"/>
          <a:extLst>
            <a:ext uri="{FF2B5EF4-FFF2-40B4-BE49-F238E27FC236}">
              <a16:creationId xmlns:a16="http://schemas.microsoft.com/office/drawing/2014/main" id="{A38EDA3A-0E77-4260-ADD9-840FFF512B55}"/>
            </a:ext>
          </a:extLst>
        </xdr:cNvPr>
        <xdr:cNvSpPr txBox="1"/>
      </xdr:nvSpPr>
      <xdr:spPr>
        <a:xfrm>
          <a:off x="1" y="0"/>
          <a:ext cx="1752600" cy="352425"/>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Return to Menu</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304800</xdr:colOff>
      <xdr:row>13</xdr:row>
      <xdr:rowOff>46101</xdr:rowOff>
    </xdr:from>
    <xdr:to>
      <xdr:col>12</xdr:col>
      <xdr:colOff>533400</xdr:colOff>
      <xdr:row>18</xdr:row>
      <xdr:rowOff>175260</xdr:rowOff>
    </xdr:to>
    <xdr:pic>
      <xdr:nvPicPr>
        <xdr:cNvPr id="2052" name="Picture 4">
          <a:extLst>
            <a:ext uri="{FF2B5EF4-FFF2-40B4-BE49-F238E27FC236}">
              <a16:creationId xmlns:a16="http://schemas.microsoft.com/office/drawing/2014/main" id="{00000000-0008-0000-0F00-000004080000}"/>
            </a:ext>
          </a:extLst>
        </xdr:cNvPr>
        <xdr:cNvPicPr>
          <a:picLocks noChangeAspect="1" noChangeArrowheads="1"/>
        </xdr:cNvPicPr>
      </xdr:nvPicPr>
      <xdr:blipFill>
        <a:blip xmlns:r="http://schemas.openxmlformats.org/officeDocument/2006/relationships" r:embed="rId1" cstate="email"/>
        <a:srcRect/>
        <a:stretch>
          <a:fillRect/>
        </a:stretch>
      </xdr:blipFill>
      <xdr:spPr bwMode="auto">
        <a:xfrm>
          <a:off x="6400800" y="2469261"/>
          <a:ext cx="1447800" cy="104355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10</xdr:col>
      <xdr:colOff>251460</xdr:colOff>
      <xdr:row>0</xdr:row>
      <xdr:rowOff>121920</xdr:rowOff>
    </xdr:from>
    <xdr:to>
      <xdr:col>12</xdr:col>
      <xdr:colOff>480060</xdr:colOff>
      <xdr:row>1</xdr:row>
      <xdr:rowOff>175260</xdr:rowOff>
    </xdr:to>
    <xdr:sp macro="" textlink="">
      <xdr:nvSpPr>
        <xdr:cNvPr id="2" name="TextBox 1">
          <a:hlinkClick xmlns:r="http://schemas.openxmlformats.org/officeDocument/2006/relationships" r:id="rId2"/>
          <a:extLst>
            <a:ext uri="{FF2B5EF4-FFF2-40B4-BE49-F238E27FC236}">
              <a16:creationId xmlns:a16="http://schemas.microsoft.com/office/drawing/2014/main" id="{00000000-0008-0000-0F00-000002000000}"/>
            </a:ext>
          </a:extLst>
        </xdr:cNvPr>
        <xdr:cNvSpPr txBox="1"/>
      </xdr:nvSpPr>
      <xdr:spPr>
        <a:xfrm>
          <a:off x="6347460" y="121920"/>
          <a:ext cx="1447800" cy="28194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clientData/>
  </xdr:twoCellAnchor>
  <xdr:twoCellAnchor editAs="oneCell">
    <xdr:from>
      <xdr:col>0</xdr:col>
      <xdr:colOff>434340</xdr:colOff>
      <xdr:row>3</xdr:row>
      <xdr:rowOff>167640</xdr:rowOff>
    </xdr:from>
    <xdr:to>
      <xdr:col>3</xdr:col>
      <xdr:colOff>0</xdr:colOff>
      <xdr:row>11</xdr:row>
      <xdr:rowOff>104918</xdr:rowOff>
    </xdr:to>
    <xdr:pic>
      <xdr:nvPicPr>
        <xdr:cNvPr id="2051" name="Picture 3">
          <a:hlinkClick xmlns:r="http://schemas.openxmlformats.org/officeDocument/2006/relationships" r:id="rId3"/>
          <a:extLst>
            <a:ext uri="{FF2B5EF4-FFF2-40B4-BE49-F238E27FC236}">
              <a16:creationId xmlns:a16="http://schemas.microsoft.com/office/drawing/2014/main" id="{00000000-0008-0000-0F00-000003080000}"/>
            </a:ext>
          </a:extLst>
        </xdr:cNvPr>
        <xdr:cNvPicPr>
          <a:picLocks noChangeAspect="1" noChangeArrowheads="1"/>
        </xdr:cNvPicPr>
      </xdr:nvPicPr>
      <xdr:blipFill>
        <a:blip xmlns:r="http://schemas.openxmlformats.org/officeDocument/2006/relationships" r:embed="rId4" cstate="email"/>
        <a:srcRect/>
        <a:stretch>
          <a:fillRect/>
        </a:stretch>
      </xdr:blipFill>
      <xdr:spPr bwMode="auto">
        <a:xfrm>
          <a:off x="434340" y="762000"/>
          <a:ext cx="1394460" cy="140031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121920</xdr:colOff>
      <xdr:row>0</xdr:row>
      <xdr:rowOff>53340</xdr:rowOff>
    </xdr:from>
    <xdr:to>
      <xdr:col>10</xdr:col>
      <xdr:colOff>53340</xdr:colOff>
      <xdr:row>3</xdr:row>
      <xdr:rowOff>91440</xdr:rowOff>
    </xdr:to>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731520" y="53340"/>
          <a:ext cx="541782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3200" b="1">
              <a:solidFill>
                <a:schemeClr val="tx2"/>
              </a:solidFill>
            </a:rPr>
            <a:t>The Quick Drop Fittings</a:t>
          </a:r>
        </a:p>
      </xdr:txBody>
    </xdr:sp>
    <xdr:clientData/>
  </xdr:twoCellAnchor>
  <xdr:twoCellAnchor>
    <xdr:from>
      <xdr:col>0</xdr:col>
      <xdr:colOff>281940</xdr:colOff>
      <xdr:row>3</xdr:row>
      <xdr:rowOff>114301</xdr:rowOff>
    </xdr:from>
    <xdr:to>
      <xdr:col>12</xdr:col>
      <xdr:colOff>518160</xdr:colOff>
      <xdr:row>27</xdr:row>
      <xdr:rowOff>137159</xdr:rowOff>
    </xdr:to>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281940" y="708661"/>
          <a:ext cx="7551420" cy="4411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tx2"/>
              </a:solidFill>
            </a:rPr>
            <a:t>		Used to create a drop from the header pipe without the risk of condensation contamination to                      		tools and equipment (that could</a:t>
          </a:r>
          <a:r>
            <a:rPr lang="en-US" sz="1100" baseline="0">
              <a:solidFill>
                <a:schemeClr val="tx2"/>
              </a:solidFill>
            </a:rPr>
            <a:t> result in premature failures).</a:t>
          </a:r>
        </a:p>
        <a:p>
          <a:endParaRPr lang="en-US" sz="1100">
            <a:solidFill>
              <a:schemeClr val="tx2"/>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tx2"/>
              </a:solidFill>
              <a:latin typeface="+mn-lt"/>
              <a:ea typeface="+mn-ea"/>
              <a:cs typeface="+mn-cs"/>
            </a:rPr>
            <a:t>		Traditional fittings -</a:t>
          </a:r>
          <a:r>
            <a:rPr lang="en-US" sz="1100" baseline="0">
              <a:solidFill>
                <a:schemeClr val="tx2"/>
              </a:solidFill>
              <a:latin typeface="+mn-lt"/>
              <a:ea typeface="+mn-ea"/>
              <a:cs typeface="+mn-cs"/>
            </a:rPr>
            <a:t> (1) equal tee, &amp; (2) elbows.  In a traditional system, tee's should never point 			down from a header pipe.  This allows the condesation that forms in the header to migrate 			down to your tools and equipment. For this reason you need to use additional elbows to bring 			the pipe back down towards the floor.</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Calibri"/>
              <a:ea typeface="+mn-ea"/>
              <a:cs typeface="+mn-cs"/>
            </a:rPr>
            <a:t>●  </a:t>
          </a:r>
          <a:r>
            <a:rPr lang="en-US" sz="1100" baseline="0">
              <a:solidFill>
                <a:schemeClr val="tx2"/>
              </a:solidFill>
              <a:latin typeface="+mn-lt"/>
              <a:ea typeface="+mn-ea"/>
              <a:cs typeface="+mn-cs"/>
            </a:rPr>
            <a:t>With the Quick Drop you only need one fitting.  They attach around the outside of the pipe, sealing</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 with an oring (pictured right). A hole is drilled into the side (or top depending on orientation) of the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pipe which keeps condensation in the bottom half of the pipe to be drained back to the receiver tank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or to a drip leg.</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  The quick drop fitting comes with a drilling jig built into the fitting.  No specialized tools required.</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  The quick drop fitting literally takes a matter of a few minutes to install and can be installed after the header is complete.  This     makes for a very quick installation of both the header (no cutting of pipes everytime a drop is required) and the drops.  Drops can be added anytime in the future as needed providing you with a leak free connection.</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  The Quick drop fitting is available in two sizes (3/4" &amp; 1") as well as NPT threaded connections - to connect your pressure gauges , tools, or hoses directly. This selection allows you to configure your system in many ways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	</a:t>
          </a:r>
          <a:endParaRPr lang="en-US"/>
        </a:p>
        <a:p>
          <a:r>
            <a:rPr lang="en-US" sz="1100"/>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110672</xdr:colOff>
      <xdr:row>10</xdr:row>
      <xdr:rowOff>111035</xdr:rowOff>
    </xdr:from>
    <xdr:to>
      <xdr:col>5</xdr:col>
      <xdr:colOff>1302670</xdr:colOff>
      <xdr:row>10</xdr:row>
      <xdr:rowOff>1257182</xdr:rowOff>
    </xdr:to>
    <xdr:pic>
      <xdr:nvPicPr>
        <xdr:cNvPr id="190" name="Picture 189">
          <a:hlinkClick xmlns:r="http://schemas.openxmlformats.org/officeDocument/2006/relationships" r:id="rId1" tooltip="Click Here for Reducing Fittings"/>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2" cstate="email"/>
        <a:stretch>
          <a:fillRect/>
        </a:stretch>
      </xdr:blipFill>
      <xdr:spPr>
        <a:xfrm>
          <a:off x="3509790" y="6236917"/>
          <a:ext cx="1195173" cy="1146147"/>
        </a:xfrm>
        <a:prstGeom prst="rect">
          <a:avLst/>
        </a:prstGeom>
      </xdr:spPr>
    </xdr:pic>
    <xdr:clientData/>
  </xdr:twoCellAnchor>
  <xdr:twoCellAnchor editAs="oneCell">
    <xdr:from>
      <xdr:col>6</xdr:col>
      <xdr:colOff>47136</xdr:colOff>
      <xdr:row>12</xdr:row>
      <xdr:rowOff>237636</xdr:rowOff>
    </xdr:from>
    <xdr:to>
      <xdr:col>7</xdr:col>
      <xdr:colOff>1443078</xdr:colOff>
      <xdr:row>12</xdr:row>
      <xdr:rowOff>1069730</xdr:rowOff>
    </xdr:to>
    <xdr:pic>
      <xdr:nvPicPr>
        <xdr:cNvPr id="6" name="Picture 5">
          <a:hlinkClick xmlns:r="http://schemas.openxmlformats.org/officeDocument/2006/relationships" r:id="rId3"/>
          <a:extLst>
            <a:ext uri="{FF2B5EF4-FFF2-40B4-BE49-F238E27FC236}">
              <a16:creationId xmlns:a16="http://schemas.microsoft.com/office/drawing/2014/main" id="{D799CADC-8DC2-46E5-9A1B-E469AC9AD76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993" t="13815" r="14012" b="11579"/>
        <a:stretch/>
      </xdr:blipFill>
      <xdr:spPr>
        <a:xfrm>
          <a:off x="5014790" y="7799021"/>
          <a:ext cx="1469211" cy="832094"/>
        </a:xfrm>
        <a:prstGeom prst="rect">
          <a:avLst/>
        </a:prstGeom>
      </xdr:spPr>
    </xdr:pic>
    <xdr:clientData/>
  </xdr:twoCellAnchor>
  <xdr:twoCellAnchor editAs="oneCell">
    <xdr:from>
      <xdr:col>1</xdr:col>
      <xdr:colOff>100542</xdr:colOff>
      <xdr:row>22</xdr:row>
      <xdr:rowOff>58209</xdr:rowOff>
    </xdr:from>
    <xdr:to>
      <xdr:col>1</xdr:col>
      <xdr:colOff>1456267</xdr:colOff>
      <xdr:row>22</xdr:row>
      <xdr:rowOff>1151311</xdr:rowOff>
    </xdr:to>
    <xdr:pic>
      <xdr:nvPicPr>
        <xdr:cNvPr id="323" name="Picture 11">
          <a:hlinkClick xmlns:r="http://schemas.openxmlformats.org/officeDocument/2006/relationships" r:id="rId5"/>
          <a:extLst>
            <a:ext uri="{FF2B5EF4-FFF2-40B4-BE49-F238E27FC236}">
              <a16:creationId xmlns:a16="http://schemas.microsoft.com/office/drawing/2014/main" id="{00000000-0008-0000-0000-000043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63009" y="11217276"/>
          <a:ext cx="1352550" cy="1096277"/>
        </a:xfrm>
        <a:prstGeom prst="rect">
          <a:avLst/>
        </a:prstGeom>
        <a:noFill/>
        <a:ln w="1">
          <a:noFill/>
          <a:miter lim="800000"/>
          <a:headEnd/>
          <a:tailEnd type="none" w="med" len="med"/>
        </a:ln>
        <a:effectLst/>
      </xdr:spPr>
    </xdr:pic>
    <xdr:clientData/>
  </xdr:twoCellAnchor>
  <xdr:twoCellAnchor editAs="oneCell">
    <xdr:from>
      <xdr:col>1</xdr:col>
      <xdr:colOff>66676</xdr:colOff>
      <xdr:row>22</xdr:row>
      <xdr:rowOff>66675</xdr:rowOff>
    </xdr:from>
    <xdr:to>
      <xdr:col>1</xdr:col>
      <xdr:colOff>1416051</xdr:colOff>
      <xdr:row>22</xdr:row>
      <xdr:rowOff>1162952</xdr:rowOff>
    </xdr:to>
    <xdr:pic>
      <xdr:nvPicPr>
        <xdr:cNvPr id="321" name="Picture 11">
          <a:hlinkClick xmlns:r="http://schemas.openxmlformats.org/officeDocument/2006/relationships" r:id="rId5" tooltip="Click Here for Accessories"/>
          <a:extLst>
            <a:ext uri="{FF2B5EF4-FFF2-40B4-BE49-F238E27FC236}">
              <a16:creationId xmlns:a16="http://schemas.microsoft.com/office/drawing/2014/main" id="{00000000-0008-0000-0000-000041010000}"/>
            </a:ext>
          </a:extLst>
        </xdr:cNvPr>
        <xdr:cNvPicPr>
          <a:picLocks noChangeAspect="1" noChangeArrowheads="1"/>
        </xdr:cNvPicPr>
      </xdr:nvPicPr>
      <xdr:blipFill>
        <a:blip xmlns:r="http://schemas.openxmlformats.org/officeDocument/2006/relationships" r:embed="rId6" cstate="email"/>
        <a:srcRect/>
        <a:stretch>
          <a:fillRect/>
        </a:stretch>
      </xdr:blipFill>
      <xdr:spPr bwMode="auto">
        <a:xfrm>
          <a:off x="329143" y="11225742"/>
          <a:ext cx="1352550" cy="1096277"/>
        </a:xfrm>
        <a:prstGeom prst="rect">
          <a:avLst/>
        </a:prstGeom>
        <a:noFill/>
        <a:ln w="1">
          <a:noFill/>
          <a:miter lim="800000"/>
          <a:headEnd/>
          <a:tailEnd type="none" w="med" len="med"/>
        </a:ln>
        <a:effectLst/>
      </xdr:spPr>
    </xdr:pic>
    <xdr:clientData/>
  </xdr:twoCellAnchor>
  <xdr:twoCellAnchor editAs="oneCell">
    <xdr:from>
      <xdr:col>1</xdr:col>
      <xdr:colOff>71438</xdr:colOff>
      <xdr:row>16</xdr:row>
      <xdr:rowOff>161925</xdr:rowOff>
    </xdr:from>
    <xdr:to>
      <xdr:col>1</xdr:col>
      <xdr:colOff>1477963</xdr:colOff>
      <xdr:row>16</xdr:row>
      <xdr:rowOff>1219200</xdr:rowOff>
    </xdr:to>
    <xdr:pic>
      <xdr:nvPicPr>
        <xdr:cNvPr id="3082" name="Picture 10">
          <a:hlinkClick xmlns:r="http://schemas.openxmlformats.org/officeDocument/2006/relationships" r:id="rId7" tooltip="Click Here for Adaptor Unions, NPT Adaptor Kits, &amp; Threaded Connectors"/>
          <a:extLst>
            <a:ext uri="{FF2B5EF4-FFF2-40B4-BE49-F238E27FC236}">
              <a16:creationId xmlns:a16="http://schemas.microsoft.com/office/drawing/2014/main" id="{00000000-0008-0000-0000-00000A0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28613" y="10448925"/>
          <a:ext cx="1409700" cy="1057275"/>
        </a:xfrm>
        <a:prstGeom prst="rect">
          <a:avLst/>
        </a:prstGeom>
        <a:noFill/>
        <a:ln w="1">
          <a:noFill/>
          <a:miter lim="800000"/>
          <a:headEnd/>
          <a:tailEnd type="none" w="med" len="med"/>
        </a:ln>
        <a:effectLst/>
      </xdr:spPr>
    </xdr:pic>
    <xdr:clientData/>
  </xdr:twoCellAnchor>
  <xdr:twoCellAnchor editAs="oneCell">
    <xdr:from>
      <xdr:col>1</xdr:col>
      <xdr:colOff>76199</xdr:colOff>
      <xdr:row>24</xdr:row>
      <xdr:rowOff>104775</xdr:rowOff>
    </xdr:from>
    <xdr:to>
      <xdr:col>1</xdr:col>
      <xdr:colOff>1474787</xdr:colOff>
      <xdr:row>24</xdr:row>
      <xdr:rowOff>1168400</xdr:rowOff>
    </xdr:to>
    <xdr:pic>
      <xdr:nvPicPr>
        <xdr:cNvPr id="3086" name="Picture 14">
          <a:hlinkClick xmlns:r="http://schemas.openxmlformats.org/officeDocument/2006/relationships" r:id="rId9" tooltip="Click Here for Spare Parts"/>
          <a:extLst>
            <a:ext uri="{FF2B5EF4-FFF2-40B4-BE49-F238E27FC236}">
              <a16:creationId xmlns:a16="http://schemas.microsoft.com/office/drawing/2014/main" id="{00000000-0008-0000-0000-00000E0C0000}"/>
            </a:ext>
          </a:extLst>
        </xdr:cNvPr>
        <xdr:cNvPicPr>
          <a:picLocks noChangeAspect="1" noChangeArrowheads="1"/>
        </xdr:cNvPicPr>
      </xdr:nvPicPr>
      <xdr:blipFill>
        <a:blip xmlns:r="http://schemas.openxmlformats.org/officeDocument/2006/relationships" r:embed="rId10" cstate="email"/>
        <a:srcRect/>
        <a:stretch>
          <a:fillRect/>
        </a:stretch>
      </xdr:blipFill>
      <xdr:spPr bwMode="auto">
        <a:xfrm>
          <a:off x="333374" y="16030575"/>
          <a:ext cx="1395413" cy="1066800"/>
        </a:xfrm>
        <a:prstGeom prst="rect">
          <a:avLst/>
        </a:prstGeom>
        <a:noFill/>
        <a:ln w="1">
          <a:noFill/>
          <a:miter lim="800000"/>
          <a:headEnd/>
          <a:tailEnd type="none" w="med" len="med"/>
        </a:ln>
        <a:effectLst/>
      </xdr:spPr>
    </xdr:pic>
    <xdr:clientData/>
  </xdr:twoCellAnchor>
  <xdr:twoCellAnchor editAs="oneCell">
    <xdr:from>
      <xdr:col>3</xdr:col>
      <xdr:colOff>52429</xdr:colOff>
      <xdr:row>24</xdr:row>
      <xdr:rowOff>142154</xdr:rowOff>
    </xdr:from>
    <xdr:to>
      <xdr:col>3</xdr:col>
      <xdr:colOff>1421580</xdr:colOff>
      <xdr:row>24</xdr:row>
      <xdr:rowOff>1193435</xdr:rowOff>
    </xdr:to>
    <xdr:pic>
      <xdr:nvPicPr>
        <xdr:cNvPr id="224" name="Picture 223" descr="L_AIRNET_174.jpg">
          <a:hlinkClick xmlns:r="http://schemas.openxmlformats.org/officeDocument/2006/relationships" r:id="rId9" tooltip="Click Here for Spare Parts"/>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11" cstate="email"/>
        <a:srcRect/>
        <a:stretch>
          <a:fillRect/>
        </a:stretch>
      </xdr:blipFill>
      <xdr:spPr>
        <a:xfrm>
          <a:off x="1811753" y="16245007"/>
          <a:ext cx="1365976" cy="1048106"/>
        </a:xfrm>
        <a:prstGeom prst="rect">
          <a:avLst/>
        </a:prstGeom>
      </xdr:spPr>
    </xdr:pic>
    <xdr:clientData/>
  </xdr:twoCellAnchor>
  <xdr:twoCellAnchor>
    <xdr:from>
      <xdr:col>4</xdr:col>
      <xdr:colOff>64861</xdr:colOff>
      <xdr:row>4</xdr:row>
      <xdr:rowOff>0</xdr:rowOff>
    </xdr:from>
    <xdr:to>
      <xdr:col>5</xdr:col>
      <xdr:colOff>1513205</xdr:colOff>
      <xdr:row>5</xdr:row>
      <xdr:rowOff>0</xdr:rowOff>
    </xdr:to>
    <xdr:sp macro="" textlink="">
      <xdr:nvSpPr>
        <xdr:cNvPr id="64" name="Rounded Rectangle 63">
          <a:extLst>
            <a:ext uri="{FF2B5EF4-FFF2-40B4-BE49-F238E27FC236}">
              <a16:creationId xmlns:a16="http://schemas.microsoft.com/office/drawing/2014/main" id="{00000000-0008-0000-0000-000040000000}"/>
            </a:ext>
          </a:extLst>
        </xdr:cNvPr>
        <xdr:cNvSpPr>
          <a:spLocks noChangeAspect="1"/>
        </xdr:cNvSpPr>
      </xdr:nvSpPr>
      <xdr:spPr>
        <a:xfrm>
          <a:off x="3412218" y="1864179"/>
          <a:ext cx="1516380" cy="131989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4</xdr:row>
      <xdr:rowOff>0</xdr:rowOff>
    </xdr:from>
    <xdr:to>
      <xdr:col>3</xdr:col>
      <xdr:colOff>1516380</xdr:colOff>
      <xdr:row>5</xdr:row>
      <xdr:rowOff>0</xdr:rowOff>
    </xdr:to>
    <xdr:sp macro="" textlink="">
      <xdr:nvSpPr>
        <xdr:cNvPr id="66" name="Rounded Rectangle 65">
          <a:extLst>
            <a:ext uri="{FF2B5EF4-FFF2-40B4-BE49-F238E27FC236}">
              <a16:creationId xmlns:a16="http://schemas.microsoft.com/office/drawing/2014/main" id="{00000000-0008-0000-0000-000042000000}"/>
            </a:ext>
          </a:extLst>
        </xdr:cNvPr>
        <xdr:cNvSpPr>
          <a:spLocks noChangeAspect="1"/>
        </xdr:cNvSpPr>
      </xdr:nvSpPr>
      <xdr:spPr>
        <a:xfrm>
          <a:off x="1719943" y="18614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54427</xdr:colOff>
      <xdr:row>6</xdr:row>
      <xdr:rowOff>0</xdr:rowOff>
    </xdr:from>
    <xdr:to>
      <xdr:col>15</xdr:col>
      <xdr:colOff>1505493</xdr:colOff>
      <xdr:row>7</xdr:row>
      <xdr:rowOff>0</xdr:rowOff>
    </xdr:to>
    <xdr:sp macro="" textlink="">
      <xdr:nvSpPr>
        <xdr:cNvPr id="72" name="Rounded Rectangle 71">
          <a:extLst>
            <a:ext uri="{FF2B5EF4-FFF2-40B4-BE49-F238E27FC236}">
              <a16:creationId xmlns:a16="http://schemas.microsoft.com/office/drawing/2014/main" id="{00000000-0008-0000-0000-000048000000}"/>
            </a:ext>
          </a:extLst>
        </xdr:cNvPr>
        <xdr:cNvSpPr>
          <a:spLocks noChangeAspect="1"/>
        </xdr:cNvSpPr>
      </xdr:nvSpPr>
      <xdr:spPr>
        <a:xfrm>
          <a:off x="11310256"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6</xdr:row>
      <xdr:rowOff>0</xdr:rowOff>
    </xdr:from>
    <xdr:to>
      <xdr:col>13</xdr:col>
      <xdr:colOff>1516380</xdr:colOff>
      <xdr:row>7</xdr:row>
      <xdr:rowOff>0</xdr:rowOff>
    </xdr:to>
    <xdr:sp macro="" textlink="">
      <xdr:nvSpPr>
        <xdr:cNvPr id="73" name="Rounded Rectangle 72">
          <a:extLst>
            <a:ext uri="{FF2B5EF4-FFF2-40B4-BE49-F238E27FC236}">
              <a16:creationId xmlns:a16="http://schemas.microsoft.com/office/drawing/2014/main" id="{00000000-0008-0000-0000-000049000000}"/>
            </a:ext>
          </a:extLst>
        </xdr:cNvPr>
        <xdr:cNvSpPr>
          <a:spLocks noChangeAspect="1"/>
        </xdr:cNvSpPr>
      </xdr:nvSpPr>
      <xdr:spPr>
        <a:xfrm>
          <a:off x="9720943"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xdr:row>
      <xdr:rowOff>0</xdr:rowOff>
    </xdr:from>
    <xdr:to>
      <xdr:col>11</xdr:col>
      <xdr:colOff>1516380</xdr:colOff>
      <xdr:row>7</xdr:row>
      <xdr:rowOff>0</xdr:rowOff>
    </xdr:to>
    <xdr:sp macro="" textlink="">
      <xdr:nvSpPr>
        <xdr:cNvPr id="74" name="Rounded Rectangle 73">
          <a:extLst>
            <a:ext uri="{FF2B5EF4-FFF2-40B4-BE49-F238E27FC236}">
              <a16:creationId xmlns:a16="http://schemas.microsoft.com/office/drawing/2014/main" id="{00000000-0008-0000-0000-00004A000000}"/>
            </a:ext>
          </a:extLst>
        </xdr:cNvPr>
        <xdr:cNvSpPr>
          <a:spLocks noChangeAspect="1"/>
        </xdr:cNvSpPr>
      </xdr:nvSpPr>
      <xdr:spPr>
        <a:xfrm>
          <a:off x="8120743"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6</xdr:row>
      <xdr:rowOff>0</xdr:rowOff>
    </xdr:from>
    <xdr:to>
      <xdr:col>9</xdr:col>
      <xdr:colOff>1516380</xdr:colOff>
      <xdr:row>7</xdr:row>
      <xdr:rowOff>0</xdr:rowOff>
    </xdr:to>
    <xdr:sp macro="" textlink="">
      <xdr:nvSpPr>
        <xdr:cNvPr id="75" name="Rounded Rectangle 74">
          <a:extLst>
            <a:ext uri="{FF2B5EF4-FFF2-40B4-BE49-F238E27FC236}">
              <a16:creationId xmlns:a16="http://schemas.microsoft.com/office/drawing/2014/main" id="{00000000-0008-0000-0000-00004B000000}"/>
            </a:ext>
          </a:extLst>
        </xdr:cNvPr>
        <xdr:cNvSpPr>
          <a:spLocks noChangeAspect="1"/>
        </xdr:cNvSpPr>
      </xdr:nvSpPr>
      <xdr:spPr>
        <a:xfrm>
          <a:off x="6520543"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6</xdr:row>
      <xdr:rowOff>0</xdr:rowOff>
    </xdr:from>
    <xdr:to>
      <xdr:col>7</xdr:col>
      <xdr:colOff>1508759</xdr:colOff>
      <xdr:row>7</xdr:row>
      <xdr:rowOff>0</xdr:rowOff>
    </xdr:to>
    <xdr:sp macro="" textlink="">
      <xdr:nvSpPr>
        <xdr:cNvPr id="76" name="Rounded Rectangle 75">
          <a:extLst>
            <a:ext uri="{FF2B5EF4-FFF2-40B4-BE49-F238E27FC236}">
              <a16:creationId xmlns:a16="http://schemas.microsoft.com/office/drawing/2014/main" id="{00000000-0008-0000-0000-00004C000000}"/>
            </a:ext>
          </a:extLst>
        </xdr:cNvPr>
        <xdr:cNvSpPr>
          <a:spLocks noChangeAspect="1"/>
        </xdr:cNvSpPr>
      </xdr:nvSpPr>
      <xdr:spPr>
        <a:xfrm>
          <a:off x="4912722"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6</xdr:row>
      <xdr:rowOff>0</xdr:rowOff>
    </xdr:from>
    <xdr:to>
      <xdr:col>3</xdr:col>
      <xdr:colOff>1516380</xdr:colOff>
      <xdr:row>7</xdr:row>
      <xdr:rowOff>0</xdr:rowOff>
    </xdr:to>
    <xdr:sp macro="" textlink="">
      <xdr:nvSpPr>
        <xdr:cNvPr id="77" name="Rounded Rectangle 76">
          <a:extLst>
            <a:ext uri="{FF2B5EF4-FFF2-40B4-BE49-F238E27FC236}">
              <a16:creationId xmlns:a16="http://schemas.microsoft.com/office/drawing/2014/main" id="{00000000-0008-0000-0000-00004D000000}"/>
            </a:ext>
          </a:extLst>
        </xdr:cNvPr>
        <xdr:cNvSpPr>
          <a:spLocks noChangeAspect="1"/>
        </xdr:cNvSpPr>
      </xdr:nvSpPr>
      <xdr:spPr>
        <a:xfrm>
          <a:off x="1719943"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6</xdr:row>
      <xdr:rowOff>0</xdr:rowOff>
    </xdr:from>
    <xdr:to>
      <xdr:col>5</xdr:col>
      <xdr:colOff>1516380</xdr:colOff>
      <xdr:row>7</xdr:row>
      <xdr:rowOff>0</xdr:rowOff>
    </xdr:to>
    <xdr:sp macro="" textlink="">
      <xdr:nvSpPr>
        <xdr:cNvPr id="78" name="Rounded Rectangle 77">
          <a:extLst>
            <a:ext uri="{FF2B5EF4-FFF2-40B4-BE49-F238E27FC236}">
              <a16:creationId xmlns:a16="http://schemas.microsoft.com/office/drawing/2014/main" id="{00000000-0008-0000-0000-00004E000000}"/>
            </a:ext>
          </a:extLst>
        </xdr:cNvPr>
        <xdr:cNvSpPr>
          <a:spLocks noChangeAspect="1"/>
        </xdr:cNvSpPr>
      </xdr:nvSpPr>
      <xdr:spPr>
        <a:xfrm>
          <a:off x="3320143"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8</xdr:row>
      <xdr:rowOff>0</xdr:rowOff>
    </xdr:from>
    <xdr:to>
      <xdr:col>3</xdr:col>
      <xdr:colOff>1516380</xdr:colOff>
      <xdr:row>9</xdr:row>
      <xdr:rowOff>0</xdr:rowOff>
    </xdr:to>
    <xdr:sp macro="" textlink="">
      <xdr:nvSpPr>
        <xdr:cNvPr id="79" name="Rounded Rectangle 78">
          <a:extLst>
            <a:ext uri="{FF2B5EF4-FFF2-40B4-BE49-F238E27FC236}">
              <a16:creationId xmlns:a16="http://schemas.microsoft.com/office/drawing/2014/main" id="{00000000-0008-0000-0000-00004F000000}"/>
            </a:ext>
          </a:extLst>
        </xdr:cNvPr>
        <xdr:cNvSpPr>
          <a:spLocks noChangeAspect="1"/>
        </xdr:cNvSpPr>
      </xdr:nvSpPr>
      <xdr:spPr>
        <a:xfrm>
          <a:off x="1719943"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8</xdr:row>
      <xdr:rowOff>0</xdr:rowOff>
    </xdr:from>
    <xdr:to>
      <xdr:col>5</xdr:col>
      <xdr:colOff>1516380</xdr:colOff>
      <xdr:row>9</xdr:row>
      <xdr:rowOff>0</xdr:rowOff>
    </xdr:to>
    <xdr:sp macro="" textlink="">
      <xdr:nvSpPr>
        <xdr:cNvPr id="80" name="Rounded Rectangle 79">
          <a:extLst>
            <a:ext uri="{FF2B5EF4-FFF2-40B4-BE49-F238E27FC236}">
              <a16:creationId xmlns:a16="http://schemas.microsoft.com/office/drawing/2014/main" id="{00000000-0008-0000-0000-000050000000}"/>
            </a:ext>
          </a:extLst>
        </xdr:cNvPr>
        <xdr:cNvSpPr>
          <a:spLocks noChangeAspect="1"/>
        </xdr:cNvSpPr>
      </xdr:nvSpPr>
      <xdr:spPr>
        <a:xfrm>
          <a:off x="3320143"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8</xdr:row>
      <xdr:rowOff>0</xdr:rowOff>
    </xdr:from>
    <xdr:to>
      <xdr:col>7</xdr:col>
      <xdr:colOff>1524000</xdr:colOff>
      <xdr:row>9</xdr:row>
      <xdr:rowOff>0</xdr:rowOff>
    </xdr:to>
    <xdr:sp macro="" textlink="">
      <xdr:nvSpPr>
        <xdr:cNvPr id="81" name="Rounded Rectangle 80">
          <a:extLst>
            <a:ext uri="{FF2B5EF4-FFF2-40B4-BE49-F238E27FC236}">
              <a16:creationId xmlns:a16="http://schemas.microsoft.com/office/drawing/2014/main" id="{00000000-0008-0000-0000-000051000000}"/>
            </a:ext>
          </a:extLst>
        </xdr:cNvPr>
        <xdr:cNvSpPr>
          <a:spLocks noChangeAspect="1"/>
        </xdr:cNvSpPr>
      </xdr:nvSpPr>
      <xdr:spPr>
        <a:xfrm>
          <a:off x="4912722" y="4669971"/>
          <a:ext cx="1531621"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20</xdr:row>
      <xdr:rowOff>0</xdr:rowOff>
    </xdr:from>
    <xdr:to>
      <xdr:col>9</xdr:col>
      <xdr:colOff>1516380</xdr:colOff>
      <xdr:row>21</xdr:row>
      <xdr:rowOff>0</xdr:rowOff>
    </xdr:to>
    <xdr:sp macro="" textlink="">
      <xdr:nvSpPr>
        <xdr:cNvPr id="101" name="Rounded Rectangle 100">
          <a:extLst>
            <a:ext uri="{FF2B5EF4-FFF2-40B4-BE49-F238E27FC236}">
              <a16:creationId xmlns:a16="http://schemas.microsoft.com/office/drawing/2014/main" id="{00000000-0008-0000-0000-000065000000}"/>
            </a:ext>
          </a:extLst>
        </xdr:cNvPr>
        <xdr:cNvSpPr>
          <a:spLocks noChangeAspect="1"/>
        </xdr:cNvSpPr>
      </xdr:nvSpPr>
      <xdr:spPr>
        <a:xfrm>
          <a:off x="6400800" y="12687300"/>
          <a:ext cx="1516380" cy="1318260"/>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14</xdr:row>
      <xdr:rowOff>0</xdr:rowOff>
    </xdr:from>
    <xdr:to>
      <xdr:col>9</xdr:col>
      <xdr:colOff>1516380</xdr:colOff>
      <xdr:row>15</xdr:row>
      <xdr:rowOff>0</xdr:rowOff>
    </xdr:to>
    <xdr:sp macro="" textlink="">
      <xdr:nvSpPr>
        <xdr:cNvPr id="110" name="Rounded Rectangle 109">
          <a:extLst>
            <a:ext uri="{FF2B5EF4-FFF2-40B4-BE49-F238E27FC236}">
              <a16:creationId xmlns:a16="http://schemas.microsoft.com/office/drawing/2014/main" id="{00000000-0008-0000-0000-00006E000000}"/>
            </a:ext>
          </a:extLst>
        </xdr:cNvPr>
        <xdr:cNvSpPr>
          <a:spLocks noChangeAspect="1"/>
        </xdr:cNvSpPr>
      </xdr:nvSpPr>
      <xdr:spPr>
        <a:xfrm>
          <a:off x="6520543"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14</xdr:row>
      <xdr:rowOff>0</xdr:rowOff>
    </xdr:from>
    <xdr:to>
      <xdr:col>11</xdr:col>
      <xdr:colOff>1516380</xdr:colOff>
      <xdr:row>15</xdr:row>
      <xdr:rowOff>0</xdr:rowOff>
    </xdr:to>
    <xdr:sp macro="" textlink="">
      <xdr:nvSpPr>
        <xdr:cNvPr id="111" name="Rounded Rectangle 110">
          <a:extLst>
            <a:ext uri="{FF2B5EF4-FFF2-40B4-BE49-F238E27FC236}">
              <a16:creationId xmlns:a16="http://schemas.microsoft.com/office/drawing/2014/main" id="{00000000-0008-0000-0000-00006F000000}"/>
            </a:ext>
          </a:extLst>
        </xdr:cNvPr>
        <xdr:cNvSpPr>
          <a:spLocks noChangeAspect="1"/>
        </xdr:cNvSpPr>
      </xdr:nvSpPr>
      <xdr:spPr>
        <a:xfrm>
          <a:off x="8120743"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14</xdr:row>
      <xdr:rowOff>0</xdr:rowOff>
    </xdr:from>
    <xdr:to>
      <xdr:col>13</xdr:col>
      <xdr:colOff>1516380</xdr:colOff>
      <xdr:row>15</xdr:row>
      <xdr:rowOff>0</xdr:rowOff>
    </xdr:to>
    <xdr:sp macro="" textlink="">
      <xdr:nvSpPr>
        <xdr:cNvPr id="112" name="Rounded Rectangle 111">
          <a:extLst>
            <a:ext uri="{FF2B5EF4-FFF2-40B4-BE49-F238E27FC236}">
              <a16:creationId xmlns:a16="http://schemas.microsoft.com/office/drawing/2014/main" id="{00000000-0008-0000-0000-000070000000}"/>
            </a:ext>
          </a:extLst>
        </xdr:cNvPr>
        <xdr:cNvSpPr>
          <a:spLocks noChangeAspect="1"/>
        </xdr:cNvSpPr>
      </xdr:nvSpPr>
      <xdr:spPr>
        <a:xfrm>
          <a:off x="9720943"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119742</xdr:colOff>
      <xdr:row>6</xdr:row>
      <xdr:rowOff>0</xdr:rowOff>
    </xdr:from>
    <xdr:to>
      <xdr:col>1</xdr:col>
      <xdr:colOff>1516379</xdr:colOff>
      <xdr:row>7</xdr:row>
      <xdr:rowOff>0</xdr:rowOff>
    </xdr:to>
    <xdr:sp macro="" textlink="">
      <xdr:nvSpPr>
        <xdr:cNvPr id="121" name="Rounded Rectangle 120">
          <a:extLst>
            <a:ext uri="{FF2B5EF4-FFF2-40B4-BE49-F238E27FC236}">
              <a16:creationId xmlns:a16="http://schemas.microsoft.com/office/drawing/2014/main" id="{00000000-0008-0000-0000-000079000000}"/>
            </a:ext>
          </a:extLst>
        </xdr:cNvPr>
        <xdr:cNvSpPr>
          <a:spLocks noChangeAspect="1"/>
        </xdr:cNvSpPr>
      </xdr:nvSpPr>
      <xdr:spPr>
        <a:xfrm>
          <a:off x="119742"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119742</xdr:colOff>
      <xdr:row>8</xdr:row>
      <xdr:rowOff>0</xdr:rowOff>
    </xdr:from>
    <xdr:to>
      <xdr:col>1</xdr:col>
      <xdr:colOff>1516379</xdr:colOff>
      <xdr:row>9</xdr:row>
      <xdr:rowOff>0</xdr:rowOff>
    </xdr:to>
    <xdr:sp macro="" textlink="">
      <xdr:nvSpPr>
        <xdr:cNvPr id="122" name="Rounded Rectangle 121">
          <a:extLst>
            <a:ext uri="{FF2B5EF4-FFF2-40B4-BE49-F238E27FC236}">
              <a16:creationId xmlns:a16="http://schemas.microsoft.com/office/drawing/2014/main" id="{00000000-0008-0000-0000-00007A000000}"/>
            </a:ext>
          </a:extLst>
        </xdr:cNvPr>
        <xdr:cNvSpPr>
          <a:spLocks noChangeAspect="1"/>
        </xdr:cNvSpPr>
      </xdr:nvSpPr>
      <xdr:spPr>
        <a:xfrm>
          <a:off x="119742"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10</xdr:row>
      <xdr:rowOff>0</xdr:rowOff>
    </xdr:from>
    <xdr:to>
      <xdr:col>1</xdr:col>
      <xdr:colOff>1516380</xdr:colOff>
      <xdr:row>11</xdr:row>
      <xdr:rowOff>0</xdr:rowOff>
    </xdr:to>
    <xdr:sp macro="" textlink="">
      <xdr:nvSpPr>
        <xdr:cNvPr id="123" name="Rounded Rectangle 122">
          <a:extLst>
            <a:ext uri="{FF2B5EF4-FFF2-40B4-BE49-F238E27FC236}">
              <a16:creationId xmlns:a16="http://schemas.microsoft.com/office/drawing/2014/main" id="{00000000-0008-0000-0000-00007B000000}"/>
            </a:ext>
          </a:extLst>
        </xdr:cNvPr>
        <xdr:cNvSpPr>
          <a:spLocks noChangeAspect="1"/>
        </xdr:cNvSpPr>
      </xdr:nvSpPr>
      <xdr:spPr>
        <a:xfrm>
          <a:off x="0" y="5638800"/>
          <a:ext cx="1516380" cy="1318260"/>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10</xdr:row>
      <xdr:rowOff>0</xdr:rowOff>
    </xdr:from>
    <xdr:to>
      <xdr:col>9</xdr:col>
      <xdr:colOff>1516380</xdr:colOff>
      <xdr:row>11</xdr:row>
      <xdr:rowOff>0</xdr:rowOff>
    </xdr:to>
    <xdr:sp macro="" textlink="">
      <xdr:nvSpPr>
        <xdr:cNvPr id="127" name="Rounded Rectangle 126">
          <a:extLst>
            <a:ext uri="{FF2B5EF4-FFF2-40B4-BE49-F238E27FC236}">
              <a16:creationId xmlns:a16="http://schemas.microsoft.com/office/drawing/2014/main" id="{00000000-0008-0000-0000-00007F000000}"/>
            </a:ext>
          </a:extLst>
        </xdr:cNvPr>
        <xdr:cNvSpPr>
          <a:spLocks noChangeAspect="1"/>
        </xdr:cNvSpPr>
      </xdr:nvSpPr>
      <xdr:spPr>
        <a:xfrm>
          <a:off x="6520543"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10</xdr:row>
      <xdr:rowOff>0</xdr:rowOff>
    </xdr:from>
    <xdr:to>
      <xdr:col>11</xdr:col>
      <xdr:colOff>1516380</xdr:colOff>
      <xdr:row>11</xdr:row>
      <xdr:rowOff>0</xdr:rowOff>
    </xdr:to>
    <xdr:sp macro="" textlink="">
      <xdr:nvSpPr>
        <xdr:cNvPr id="128" name="Rounded Rectangle 127">
          <a:extLst>
            <a:ext uri="{FF2B5EF4-FFF2-40B4-BE49-F238E27FC236}">
              <a16:creationId xmlns:a16="http://schemas.microsoft.com/office/drawing/2014/main" id="{00000000-0008-0000-0000-000080000000}"/>
            </a:ext>
          </a:extLst>
        </xdr:cNvPr>
        <xdr:cNvSpPr>
          <a:spLocks noChangeAspect="1"/>
        </xdr:cNvSpPr>
      </xdr:nvSpPr>
      <xdr:spPr>
        <a:xfrm>
          <a:off x="8120743"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10</xdr:row>
      <xdr:rowOff>0</xdr:rowOff>
    </xdr:from>
    <xdr:to>
      <xdr:col>13</xdr:col>
      <xdr:colOff>1516380</xdr:colOff>
      <xdr:row>11</xdr:row>
      <xdr:rowOff>0</xdr:rowOff>
    </xdr:to>
    <xdr:sp macro="" textlink="">
      <xdr:nvSpPr>
        <xdr:cNvPr id="129" name="Rounded Rectangle 128">
          <a:extLst>
            <a:ext uri="{FF2B5EF4-FFF2-40B4-BE49-F238E27FC236}">
              <a16:creationId xmlns:a16="http://schemas.microsoft.com/office/drawing/2014/main" id="{00000000-0008-0000-0000-000081000000}"/>
            </a:ext>
          </a:extLst>
        </xdr:cNvPr>
        <xdr:cNvSpPr>
          <a:spLocks noChangeAspect="1"/>
        </xdr:cNvSpPr>
      </xdr:nvSpPr>
      <xdr:spPr>
        <a:xfrm>
          <a:off x="9720943"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54427</xdr:colOff>
      <xdr:row>10</xdr:row>
      <xdr:rowOff>0</xdr:rowOff>
    </xdr:from>
    <xdr:to>
      <xdr:col>15</xdr:col>
      <xdr:colOff>1505493</xdr:colOff>
      <xdr:row>11</xdr:row>
      <xdr:rowOff>0</xdr:rowOff>
    </xdr:to>
    <xdr:sp macro="" textlink="">
      <xdr:nvSpPr>
        <xdr:cNvPr id="131" name="Rounded Rectangle 130">
          <a:extLst>
            <a:ext uri="{FF2B5EF4-FFF2-40B4-BE49-F238E27FC236}">
              <a16:creationId xmlns:a16="http://schemas.microsoft.com/office/drawing/2014/main" id="{00000000-0008-0000-0000-000083000000}"/>
            </a:ext>
          </a:extLst>
        </xdr:cNvPr>
        <xdr:cNvSpPr>
          <a:spLocks noChangeAspect="1"/>
        </xdr:cNvSpPr>
      </xdr:nvSpPr>
      <xdr:spPr>
        <a:xfrm>
          <a:off x="11634106" y="6109607"/>
          <a:ext cx="1519101" cy="1319893"/>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54427</xdr:colOff>
      <xdr:row>14</xdr:row>
      <xdr:rowOff>0</xdr:rowOff>
    </xdr:from>
    <xdr:to>
      <xdr:col>15</xdr:col>
      <xdr:colOff>1505493</xdr:colOff>
      <xdr:row>15</xdr:row>
      <xdr:rowOff>0</xdr:rowOff>
    </xdr:to>
    <xdr:sp macro="" textlink="">
      <xdr:nvSpPr>
        <xdr:cNvPr id="133" name="Rounded Rectangle 132">
          <a:extLst>
            <a:ext uri="{FF2B5EF4-FFF2-40B4-BE49-F238E27FC236}">
              <a16:creationId xmlns:a16="http://schemas.microsoft.com/office/drawing/2014/main" id="{00000000-0008-0000-0000-000085000000}"/>
            </a:ext>
          </a:extLst>
        </xdr:cNvPr>
        <xdr:cNvSpPr>
          <a:spLocks noChangeAspect="1"/>
        </xdr:cNvSpPr>
      </xdr:nvSpPr>
      <xdr:spPr>
        <a:xfrm>
          <a:off x="11310256"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12</xdr:row>
      <xdr:rowOff>0</xdr:rowOff>
    </xdr:from>
    <xdr:to>
      <xdr:col>7</xdr:col>
      <xdr:colOff>1508759</xdr:colOff>
      <xdr:row>13</xdr:row>
      <xdr:rowOff>0</xdr:rowOff>
    </xdr:to>
    <xdr:sp macro="" textlink="">
      <xdr:nvSpPr>
        <xdr:cNvPr id="136" name="Rounded Rectangle 135">
          <a:extLst>
            <a:ext uri="{FF2B5EF4-FFF2-40B4-BE49-F238E27FC236}">
              <a16:creationId xmlns:a16="http://schemas.microsoft.com/office/drawing/2014/main" id="{00000000-0008-0000-0000-000088000000}"/>
            </a:ext>
          </a:extLst>
        </xdr:cNvPr>
        <xdr:cNvSpPr>
          <a:spLocks noChangeAspect="1"/>
        </xdr:cNvSpPr>
      </xdr:nvSpPr>
      <xdr:spPr>
        <a:xfrm>
          <a:off x="4912722" y="7478486"/>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14</xdr:row>
      <xdr:rowOff>0</xdr:rowOff>
    </xdr:from>
    <xdr:to>
      <xdr:col>7</xdr:col>
      <xdr:colOff>1508759</xdr:colOff>
      <xdr:row>15</xdr:row>
      <xdr:rowOff>0</xdr:rowOff>
    </xdr:to>
    <xdr:sp macro="" textlink="">
      <xdr:nvSpPr>
        <xdr:cNvPr id="137" name="Rounded Rectangle 136">
          <a:extLst>
            <a:ext uri="{FF2B5EF4-FFF2-40B4-BE49-F238E27FC236}">
              <a16:creationId xmlns:a16="http://schemas.microsoft.com/office/drawing/2014/main" id="{00000000-0008-0000-0000-000089000000}"/>
            </a:ext>
          </a:extLst>
        </xdr:cNvPr>
        <xdr:cNvSpPr>
          <a:spLocks noChangeAspect="1"/>
        </xdr:cNvSpPr>
      </xdr:nvSpPr>
      <xdr:spPr>
        <a:xfrm>
          <a:off x="4912722"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20</xdr:row>
      <xdr:rowOff>0</xdr:rowOff>
    </xdr:from>
    <xdr:to>
      <xdr:col>7</xdr:col>
      <xdr:colOff>1516380</xdr:colOff>
      <xdr:row>21</xdr:row>
      <xdr:rowOff>0</xdr:rowOff>
    </xdr:to>
    <xdr:sp macro="" textlink="">
      <xdr:nvSpPr>
        <xdr:cNvPr id="140" name="Rounded Rectangle 139">
          <a:extLst>
            <a:ext uri="{FF2B5EF4-FFF2-40B4-BE49-F238E27FC236}">
              <a16:creationId xmlns:a16="http://schemas.microsoft.com/office/drawing/2014/main" id="{00000000-0008-0000-0000-00008C000000}"/>
            </a:ext>
          </a:extLst>
        </xdr:cNvPr>
        <xdr:cNvSpPr>
          <a:spLocks noChangeAspect="1"/>
        </xdr:cNvSpPr>
      </xdr:nvSpPr>
      <xdr:spPr>
        <a:xfrm>
          <a:off x="4800600" y="12687300"/>
          <a:ext cx="1516380" cy="1318260"/>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57693</xdr:colOff>
      <xdr:row>24</xdr:row>
      <xdr:rowOff>11206</xdr:rowOff>
    </xdr:from>
    <xdr:to>
      <xdr:col>3</xdr:col>
      <xdr:colOff>1511933</xdr:colOff>
      <xdr:row>25</xdr:row>
      <xdr:rowOff>11206</xdr:rowOff>
    </xdr:to>
    <xdr:sp macro="" textlink="">
      <xdr:nvSpPr>
        <xdr:cNvPr id="141" name="Rounded Rectangle 140">
          <a:extLst>
            <a:ext uri="{FF2B5EF4-FFF2-40B4-BE49-F238E27FC236}">
              <a16:creationId xmlns:a16="http://schemas.microsoft.com/office/drawing/2014/main" id="{00000000-0008-0000-0000-00008D000000}"/>
            </a:ext>
          </a:extLst>
        </xdr:cNvPr>
        <xdr:cNvSpPr>
          <a:spLocks noChangeAspect="1"/>
        </xdr:cNvSpPr>
      </xdr:nvSpPr>
      <xdr:spPr>
        <a:xfrm>
          <a:off x="1749781" y="16114059"/>
          <a:ext cx="1521476" cy="1322294"/>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20</xdr:row>
      <xdr:rowOff>0</xdr:rowOff>
    </xdr:from>
    <xdr:to>
      <xdr:col>5</xdr:col>
      <xdr:colOff>1516380</xdr:colOff>
      <xdr:row>21</xdr:row>
      <xdr:rowOff>0</xdr:rowOff>
    </xdr:to>
    <xdr:sp macro="" textlink="">
      <xdr:nvSpPr>
        <xdr:cNvPr id="153" name="Rounded Rectangle 152">
          <a:extLst>
            <a:ext uri="{FF2B5EF4-FFF2-40B4-BE49-F238E27FC236}">
              <a16:creationId xmlns:a16="http://schemas.microsoft.com/office/drawing/2014/main" id="{00000000-0008-0000-0000-000099000000}"/>
            </a:ext>
          </a:extLst>
        </xdr:cNvPr>
        <xdr:cNvSpPr>
          <a:spLocks noChangeAspect="1"/>
        </xdr:cNvSpPr>
      </xdr:nvSpPr>
      <xdr:spPr>
        <a:xfrm>
          <a:off x="3200400" y="12687300"/>
          <a:ext cx="1516380" cy="1318260"/>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20</xdr:row>
      <xdr:rowOff>0</xdr:rowOff>
    </xdr:from>
    <xdr:to>
      <xdr:col>1</xdr:col>
      <xdr:colOff>1516380</xdr:colOff>
      <xdr:row>21</xdr:row>
      <xdr:rowOff>0</xdr:rowOff>
    </xdr:to>
    <xdr:sp macro="" textlink="">
      <xdr:nvSpPr>
        <xdr:cNvPr id="155" name="Rounded Rectangle 154">
          <a:extLst>
            <a:ext uri="{FF2B5EF4-FFF2-40B4-BE49-F238E27FC236}">
              <a16:creationId xmlns:a16="http://schemas.microsoft.com/office/drawing/2014/main" id="{00000000-0008-0000-0000-00009B000000}"/>
            </a:ext>
          </a:extLst>
        </xdr:cNvPr>
        <xdr:cNvSpPr>
          <a:spLocks noChangeAspect="1"/>
        </xdr:cNvSpPr>
      </xdr:nvSpPr>
      <xdr:spPr>
        <a:xfrm>
          <a:off x="0" y="12687300"/>
          <a:ext cx="1516380" cy="1318260"/>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3</xdr:col>
      <xdr:colOff>1516380</xdr:colOff>
      <xdr:row>15</xdr:row>
      <xdr:rowOff>0</xdr:rowOff>
    </xdr:to>
    <xdr:sp macro="" textlink="">
      <xdr:nvSpPr>
        <xdr:cNvPr id="163" name="Rounded Rectangle 162">
          <a:extLst>
            <a:ext uri="{FF2B5EF4-FFF2-40B4-BE49-F238E27FC236}">
              <a16:creationId xmlns:a16="http://schemas.microsoft.com/office/drawing/2014/main" id="{00000000-0008-0000-0000-0000A3000000}"/>
            </a:ext>
          </a:extLst>
        </xdr:cNvPr>
        <xdr:cNvSpPr>
          <a:spLocks noChangeAspect="1"/>
        </xdr:cNvSpPr>
      </xdr:nvSpPr>
      <xdr:spPr>
        <a:xfrm>
          <a:off x="1719943"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14</xdr:row>
      <xdr:rowOff>0</xdr:rowOff>
    </xdr:from>
    <xdr:to>
      <xdr:col>5</xdr:col>
      <xdr:colOff>1516380</xdr:colOff>
      <xdr:row>15</xdr:row>
      <xdr:rowOff>0</xdr:rowOff>
    </xdr:to>
    <xdr:sp macro="" textlink="">
      <xdr:nvSpPr>
        <xdr:cNvPr id="164" name="Rounded Rectangle 163">
          <a:extLst>
            <a:ext uri="{FF2B5EF4-FFF2-40B4-BE49-F238E27FC236}">
              <a16:creationId xmlns:a16="http://schemas.microsoft.com/office/drawing/2014/main" id="{00000000-0008-0000-0000-0000A4000000}"/>
            </a:ext>
          </a:extLst>
        </xdr:cNvPr>
        <xdr:cNvSpPr>
          <a:spLocks noChangeAspect="1"/>
        </xdr:cNvSpPr>
      </xdr:nvSpPr>
      <xdr:spPr>
        <a:xfrm>
          <a:off x="3320143"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12</xdr:row>
      <xdr:rowOff>0</xdr:rowOff>
    </xdr:from>
    <xdr:to>
      <xdr:col>5</xdr:col>
      <xdr:colOff>1516380</xdr:colOff>
      <xdr:row>13</xdr:row>
      <xdr:rowOff>0</xdr:rowOff>
    </xdr:to>
    <xdr:sp macro="" textlink="">
      <xdr:nvSpPr>
        <xdr:cNvPr id="165" name="Rounded Rectangle 164">
          <a:extLst>
            <a:ext uri="{FF2B5EF4-FFF2-40B4-BE49-F238E27FC236}">
              <a16:creationId xmlns:a16="http://schemas.microsoft.com/office/drawing/2014/main" id="{00000000-0008-0000-0000-0000A5000000}"/>
            </a:ext>
          </a:extLst>
        </xdr:cNvPr>
        <xdr:cNvSpPr>
          <a:spLocks noChangeAspect="1"/>
        </xdr:cNvSpPr>
      </xdr:nvSpPr>
      <xdr:spPr>
        <a:xfrm>
          <a:off x="3320143" y="7478486"/>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12</xdr:row>
      <xdr:rowOff>0</xdr:rowOff>
    </xdr:from>
    <xdr:to>
      <xdr:col>3</xdr:col>
      <xdr:colOff>1516380</xdr:colOff>
      <xdr:row>13</xdr:row>
      <xdr:rowOff>0</xdr:rowOff>
    </xdr:to>
    <xdr:sp macro="" textlink="">
      <xdr:nvSpPr>
        <xdr:cNvPr id="166" name="Rounded Rectangle 165">
          <a:extLst>
            <a:ext uri="{FF2B5EF4-FFF2-40B4-BE49-F238E27FC236}">
              <a16:creationId xmlns:a16="http://schemas.microsoft.com/office/drawing/2014/main" id="{00000000-0008-0000-0000-0000A6000000}"/>
            </a:ext>
          </a:extLst>
        </xdr:cNvPr>
        <xdr:cNvSpPr>
          <a:spLocks noChangeAspect="1"/>
        </xdr:cNvSpPr>
      </xdr:nvSpPr>
      <xdr:spPr>
        <a:xfrm>
          <a:off x="1719943" y="7478486"/>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243840</xdr:colOff>
      <xdr:row>4</xdr:row>
      <xdr:rowOff>129540</xdr:rowOff>
    </xdr:from>
    <xdr:to>
      <xdr:col>5</xdr:col>
      <xdr:colOff>1287780</xdr:colOff>
      <xdr:row>4</xdr:row>
      <xdr:rowOff>1186815</xdr:rowOff>
    </xdr:to>
    <xdr:pic>
      <xdr:nvPicPr>
        <xdr:cNvPr id="169" name="Picture 168" descr="C:\Users\air15712\AppData\Local\Temp\SNAGHTML2e5e46.PNG">
          <a:hlinkClick xmlns:r="http://schemas.openxmlformats.org/officeDocument/2006/relationships" r:id="rId12" tooltip="Click Here to Select Pipe and Clips"/>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13" cstate="email">
          <a:lum bright="10000"/>
          <a:extLst>
            <a:ext uri="{28A0092B-C50C-407E-A947-70E740481C1C}">
              <a14:useLocalDpi xmlns:a14="http://schemas.microsoft.com/office/drawing/2010/main" val="0"/>
            </a:ext>
          </a:extLst>
        </a:blip>
        <a:srcRect/>
        <a:stretch>
          <a:fillRect/>
        </a:stretch>
      </xdr:blipFill>
      <xdr:spPr bwMode="auto">
        <a:xfrm flipH="1">
          <a:off x="3444240" y="1539240"/>
          <a:ext cx="1043940"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18</xdr:row>
      <xdr:rowOff>0</xdr:rowOff>
    </xdr:from>
    <xdr:to>
      <xdr:col>3</xdr:col>
      <xdr:colOff>1524000</xdr:colOff>
      <xdr:row>19</xdr:row>
      <xdr:rowOff>0</xdr:rowOff>
    </xdr:to>
    <xdr:sp macro="" textlink="">
      <xdr:nvSpPr>
        <xdr:cNvPr id="67" name="Rounded Rectangle 66">
          <a:extLst>
            <a:ext uri="{FF2B5EF4-FFF2-40B4-BE49-F238E27FC236}">
              <a16:creationId xmlns:a16="http://schemas.microsoft.com/office/drawing/2014/main" id="{00000000-0008-0000-0000-000043000000}"/>
            </a:ext>
          </a:extLst>
        </xdr:cNvPr>
        <xdr:cNvSpPr>
          <a:spLocks noChangeAspect="1"/>
        </xdr:cNvSpPr>
      </xdr:nvSpPr>
      <xdr:spPr>
        <a:xfrm>
          <a:off x="1719943" y="11691257"/>
          <a:ext cx="152400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131028</xdr:colOff>
      <xdr:row>18</xdr:row>
      <xdr:rowOff>141515</xdr:rowOff>
    </xdr:from>
    <xdr:to>
      <xdr:col>3</xdr:col>
      <xdr:colOff>1368178</xdr:colOff>
      <xdr:row>18</xdr:row>
      <xdr:rowOff>1167191</xdr:rowOff>
    </xdr:to>
    <xdr:pic>
      <xdr:nvPicPr>
        <xdr:cNvPr id="170" name="Picture 169">
          <a:hlinkClick xmlns:r="http://schemas.openxmlformats.org/officeDocument/2006/relationships" r:id="rId14" tooltip="Click Here to Select Pipe and Clips"/>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5" cstate="email"/>
        <a:stretch>
          <a:fillRect/>
        </a:stretch>
      </xdr:blipFill>
      <xdr:spPr>
        <a:xfrm>
          <a:off x="1850971" y="11832772"/>
          <a:ext cx="1237150" cy="1025676"/>
        </a:xfrm>
        <a:prstGeom prst="rect">
          <a:avLst/>
        </a:prstGeom>
      </xdr:spPr>
    </xdr:pic>
    <xdr:clientData/>
  </xdr:twoCellAnchor>
  <xdr:twoCellAnchor editAs="oneCell">
    <xdr:from>
      <xdr:col>7</xdr:col>
      <xdr:colOff>54428</xdr:colOff>
      <xdr:row>6</xdr:row>
      <xdr:rowOff>201023</xdr:rowOff>
    </xdr:from>
    <xdr:to>
      <xdr:col>7</xdr:col>
      <xdr:colOff>1246173</xdr:colOff>
      <xdr:row>6</xdr:row>
      <xdr:rowOff>1139888</xdr:rowOff>
    </xdr:to>
    <xdr:pic>
      <xdr:nvPicPr>
        <xdr:cNvPr id="175" name="Picture 174">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7" cstate="email"/>
        <a:stretch>
          <a:fillRect/>
        </a:stretch>
      </xdr:blipFill>
      <xdr:spPr>
        <a:xfrm>
          <a:off x="5079999" y="3503023"/>
          <a:ext cx="1194920" cy="938865"/>
        </a:xfrm>
        <a:prstGeom prst="rect">
          <a:avLst/>
        </a:prstGeom>
      </xdr:spPr>
    </xdr:pic>
    <xdr:clientData/>
  </xdr:twoCellAnchor>
  <xdr:twoCellAnchor editAs="oneCell">
    <xdr:from>
      <xdr:col>3</xdr:col>
      <xdr:colOff>231140</xdr:colOff>
      <xdr:row>6</xdr:row>
      <xdr:rowOff>154214</xdr:rowOff>
    </xdr:from>
    <xdr:to>
      <xdr:col>3</xdr:col>
      <xdr:colOff>1307304</xdr:colOff>
      <xdr:row>6</xdr:row>
      <xdr:rowOff>1160141</xdr:rowOff>
    </xdr:to>
    <xdr:pic>
      <xdr:nvPicPr>
        <xdr:cNvPr id="177" name="Picture 176">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8" cstate="email"/>
        <a:stretch>
          <a:fillRect/>
        </a:stretch>
      </xdr:blipFill>
      <xdr:spPr>
        <a:xfrm>
          <a:off x="1990997" y="3456214"/>
          <a:ext cx="1072989" cy="1005927"/>
        </a:xfrm>
        <a:prstGeom prst="rect">
          <a:avLst/>
        </a:prstGeom>
      </xdr:spPr>
    </xdr:pic>
    <xdr:clientData/>
  </xdr:twoCellAnchor>
  <xdr:twoCellAnchor editAs="oneCell">
    <xdr:from>
      <xdr:col>13</xdr:col>
      <xdr:colOff>43180</xdr:colOff>
      <xdr:row>6</xdr:row>
      <xdr:rowOff>327659</xdr:rowOff>
    </xdr:from>
    <xdr:to>
      <xdr:col>13</xdr:col>
      <xdr:colOff>1363205</xdr:colOff>
      <xdr:row>6</xdr:row>
      <xdr:rowOff>1019488</xdr:rowOff>
    </xdr:to>
    <xdr:pic>
      <xdr:nvPicPr>
        <xdr:cNvPr id="178" name="Picture 177">
          <a:hlinkClick xmlns:r="http://schemas.openxmlformats.org/officeDocument/2006/relationships" r:id="rId19" tooltip="Click Here for Equal Unions, Tee's, Elbow's, &amp; End Caps"/>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20" cstate="email"/>
        <a:stretch>
          <a:fillRect/>
        </a:stretch>
      </xdr:blipFill>
      <xdr:spPr>
        <a:xfrm>
          <a:off x="9967323" y="3629659"/>
          <a:ext cx="1316850" cy="695004"/>
        </a:xfrm>
        <a:prstGeom prst="rect">
          <a:avLst/>
        </a:prstGeom>
      </xdr:spPr>
    </xdr:pic>
    <xdr:clientData/>
  </xdr:twoCellAnchor>
  <xdr:twoCellAnchor editAs="oneCell">
    <xdr:from>
      <xdr:col>9</xdr:col>
      <xdr:colOff>44267</xdr:colOff>
      <xdr:row>6</xdr:row>
      <xdr:rowOff>269602</xdr:rowOff>
    </xdr:from>
    <xdr:to>
      <xdr:col>9</xdr:col>
      <xdr:colOff>1428179</xdr:colOff>
      <xdr:row>6</xdr:row>
      <xdr:rowOff>943142</xdr:rowOff>
    </xdr:to>
    <xdr:pic>
      <xdr:nvPicPr>
        <xdr:cNvPr id="180" name="Picture 179">
          <a:hlinkClick xmlns:r="http://schemas.openxmlformats.org/officeDocument/2006/relationships" r:id="rId19" tooltip="Click Here for Equal Unions, Tee's, Elbow's, &amp; End Caps"/>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21" cstate="email"/>
        <a:stretch>
          <a:fillRect/>
        </a:stretch>
      </xdr:blipFill>
      <xdr:spPr>
        <a:xfrm>
          <a:off x="6702696" y="3571602"/>
          <a:ext cx="1383912" cy="676715"/>
        </a:xfrm>
        <a:prstGeom prst="rect">
          <a:avLst/>
        </a:prstGeom>
      </xdr:spPr>
    </xdr:pic>
    <xdr:clientData/>
  </xdr:twoCellAnchor>
  <xdr:twoCellAnchor editAs="oneCell">
    <xdr:from>
      <xdr:col>5</xdr:col>
      <xdr:colOff>225335</xdr:colOff>
      <xdr:row>8</xdr:row>
      <xdr:rowOff>187234</xdr:rowOff>
    </xdr:from>
    <xdr:to>
      <xdr:col>5</xdr:col>
      <xdr:colOff>1435369</xdr:colOff>
      <xdr:row>8</xdr:row>
      <xdr:rowOff>1190240</xdr:rowOff>
    </xdr:to>
    <xdr:pic>
      <xdr:nvPicPr>
        <xdr:cNvPr id="181" name="Picture 180">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22" cstate="email"/>
        <a:stretch>
          <a:fillRect/>
        </a:stretch>
      </xdr:blipFill>
      <xdr:spPr>
        <a:xfrm>
          <a:off x="3618049" y="4913448"/>
          <a:ext cx="1213209" cy="999831"/>
        </a:xfrm>
        <a:prstGeom prst="rect">
          <a:avLst/>
        </a:prstGeom>
      </xdr:spPr>
    </xdr:pic>
    <xdr:clientData/>
  </xdr:twoCellAnchor>
  <xdr:twoCellAnchor editAs="oneCell">
    <xdr:from>
      <xdr:col>15</xdr:col>
      <xdr:colOff>78014</xdr:colOff>
      <xdr:row>6</xdr:row>
      <xdr:rowOff>214448</xdr:rowOff>
    </xdr:from>
    <xdr:to>
      <xdr:col>15</xdr:col>
      <xdr:colOff>1398039</xdr:colOff>
      <xdr:row>6</xdr:row>
      <xdr:rowOff>1211104</xdr:rowOff>
    </xdr:to>
    <xdr:pic>
      <xdr:nvPicPr>
        <xdr:cNvPr id="183" name="Picture 182">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23" cstate="email"/>
        <a:stretch>
          <a:fillRect/>
        </a:stretch>
      </xdr:blipFill>
      <xdr:spPr>
        <a:xfrm>
          <a:off x="11635014" y="3516448"/>
          <a:ext cx="1316850" cy="999831"/>
        </a:xfrm>
        <a:prstGeom prst="rect">
          <a:avLst/>
        </a:prstGeom>
      </xdr:spPr>
    </xdr:pic>
    <xdr:clientData/>
  </xdr:twoCellAnchor>
  <xdr:twoCellAnchor editAs="oneCell">
    <xdr:from>
      <xdr:col>11</xdr:col>
      <xdr:colOff>155665</xdr:colOff>
      <xdr:row>8</xdr:row>
      <xdr:rowOff>123371</xdr:rowOff>
    </xdr:from>
    <xdr:to>
      <xdr:col>11</xdr:col>
      <xdr:colOff>1457147</xdr:colOff>
      <xdr:row>8</xdr:row>
      <xdr:rowOff>1178070</xdr:rowOff>
    </xdr:to>
    <xdr:pic>
      <xdr:nvPicPr>
        <xdr:cNvPr id="184" name="Picture 183">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24" cstate="email"/>
        <a:stretch>
          <a:fillRect/>
        </a:stretch>
      </xdr:blipFill>
      <xdr:spPr>
        <a:xfrm>
          <a:off x="8446951" y="4849585"/>
          <a:ext cx="1304657" cy="1054699"/>
        </a:xfrm>
        <a:prstGeom prst="rect">
          <a:avLst/>
        </a:prstGeom>
      </xdr:spPr>
    </xdr:pic>
    <xdr:clientData/>
  </xdr:twoCellAnchor>
  <xdr:twoCellAnchor editAs="oneCell">
    <xdr:from>
      <xdr:col>7</xdr:col>
      <xdr:colOff>240212</xdr:colOff>
      <xdr:row>8</xdr:row>
      <xdr:rowOff>167278</xdr:rowOff>
    </xdr:from>
    <xdr:to>
      <xdr:col>7</xdr:col>
      <xdr:colOff>1438307</xdr:colOff>
      <xdr:row>8</xdr:row>
      <xdr:rowOff>1179302</xdr:rowOff>
    </xdr:to>
    <xdr:pic>
      <xdr:nvPicPr>
        <xdr:cNvPr id="186" name="Picture 185">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25" cstate="email"/>
        <a:stretch>
          <a:fillRect/>
        </a:stretch>
      </xdr:blipFill>
      <xdr:spPr>
        <a:xfrm>
          <a:off x="5265783" y="4893492"/>
          <a:ext cx="1194920" cy="1012024"/>
        </a:xfrm>
        <a:prstGeom prst="rect">
          <a:avLst/>
        </a:prstGeom>
      </xdr:spPr>
    </xdr:pic>
    <xdr:clientData/>
  </xdr:twoCellAnchor>
  <xdr:twoCellAnchor editAs="oneCell">
    <xdr:from>
      <xdr:col>15</xdr:col>
      <xdr:colOff>44631</xdr:colOff>
      <xdr:row>8</xdr:row>
      <xdr:rowOff>170180</xdr:rowOff>
    </xdr:from>
    <xdr:to>
      <xdr:col>15</xdr:col>
      <xdr:colOff>1401235</xdr:colOff>
      <xdr:row>8</xdr:row>
      <xdr:rowOff>1264380</xdr:rowOff>
    </xdr:to>
    <xdr:pic>
      <xdr:nvPicPr>
        <xdr:cNvPr id="187" name="Picture 186">
          <a:hlinkClick xmlns:r="http://schemas.openxmlformats.org/officeDocument/2006/relationships" r:id="rId26" tooltip="Click Here for Equal Unions, Tee's, Elbow's, &amp; End Caps"/>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27" cstate="email"/>
        <a:stretch>
          <a:fillRect/>
        </a:stretch>
      </xdr:blipFill>
      <xdr:spPr>
        <a:xfrm>
          <a:off x="11601631" y="4896394"/>
          <a:ext cx="1353429" cy="1097375"/>
        </a:xfrm>
        <a:prstGeom prst="rect">
          <a:avLst/>
        </a:prstGeom>
      </xdr:spPr>
    </xdr:pic>
    <xdr:clientData/>
  </xdr:twoCellAnchor>
  <xdr:twoCellAnchor editAs="oneCell">
    <xdr:from>
      <xdr:col>13</xdr:col>
      <xdr:colOff>135707</xdr:colOff>
      <xdr:row>8</xdr:row>
      <xdr:rowOff>231503</xdr:rowOff>
    </xdr:from>
    <xdr:to>
      <xdr:col>13</xdr:col>
      <xdr:colOff>1437189</xdr:colOff>
      <xdr:row>8</xdr:row>
      <xdr:rowOff>1066727</xdr:rowOff>
    </xdr:to>
    <xdr:pic>
      <xdr:nvPicPr>
        <xdr:cNvPr id="188" name="Picture 187">
          <a:hlinkClick xmlns:r="http://schemas.openxmlformats.org/officeDocument/2006/relationships" r:id="rId28" tooltip="Click Here for Equal Unions, Tee's, Elbow's, &amp; End Caps"/>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29" cstate="email"/>
        <a:stretch>
          <a:fillRect/>
        </a:stretch>
      </xdr:blipFill>
      <xdr:spPr>
        <a:xfrm>
          <a:off x="10059850" y="4957717"/>
          <a:ext cx="1304657" cy="835224"/>
        </a:xfrm>
        <a:prstGeom prst="rect">
          <a:avLst/>
        </a:prstGeom>
      </xdr:spPr>
    </xdr:pic>
    <xdr:clientData/>
  </xdr:twoCellAnchor>
  <xdr:twoCellAnchor editAs="oneCell">
    <xdr:from>
      <xdr:col>3</xdr:col>
      <xdr:colOff>314234</xdr:colOff>
      <xdr:row>10</xdr:row>
      <xdr:rowOff>115752</xdr:rowOff>
    </xdr:from>
    <xdr:to>
      <xdr:col>3</xdr:col>
      <xdr:colOff>1341626</xdr:colOff>
      <xdr:row>10</xdr:row>
      <xdr:rowOff>1173373</xdr:rowOff>
    </xdr:to>
    <xdr:pic>
      <xdr:nvPicPr>
        <xdr:cNvPr id="191" name="Picture 190">
          <a:hlinkClick xmlns:r="http://schemas.openxmlformats.org/officeDocument/2006/relationships" r:id="rId1" tooltip="Click Here for Reducing Fittings"/>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30" cstate="email"/>
        <a:stretch>
          <a:fillRect/>
        </a:stretch>
      </xdr:blipFill>
      <xdr:spPr>
        <a:xfrm>
          <a:off x="2074091" y="6266181"/>
          <a:ext cx="1024217" cy="1060796"/>
        </a:xfrm>
        <a:prstGeom prst="rect">
          <a:avLst/>
        </a:prstGeom>
      </xdr:spPr>
    </xdr:pic>
    <xdr:clientData/>
  </xdr:twoCellAnchor>
  <xdr:twoCellAnchor editAs="oneCell">
    <xdr:from>
      <xdr:col>9</xdr:col>
      <xdr:colOff>166551</xdr:colOff>
      <xdr:row>10</xdr:row>
      <xdr:rowOff>181065</xdr:rowOff>
    </xdr:from>
    <xdr:to>
      <xdr:col>9</xdr:col>
      <xdr:colOff>1276119</xdr:colOff>
      <xdr:row>10</xdr:row>
      <xdr:rowOff>1171624</xdr:rowOff>
    </xdr:to>
    <xdr:pic>
      <xdr:nvPicPr>
        <xdr:cNvPr id="192" name="Picture 191">
          <a:hlinkClick xmlns:r="http://schemas.openxmlformats.org/officeDocument/2006/relationships" r:id="rId1" tooltip="Click Here for Reducing Fittings"/>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31" cstate="email"/>
        <a:stretch>
          <a:fillRect/>
        </a:stretch>
      </xdr:blipFill>
      <xdr:spPr>
        <a:xfrm>
          <a:off x="6824980" y="6331494"/>
          <a:ext cx="1109568" cy="993734"/>
        </a:xfrm>
        <a:prstGeom prst="rect">
          <a:avLst/>
        </a:prstGeom>
      </xdr:spPr>
    </xdr:pic>
    <xdr:clientData/>
  </xdr:twoCellAnchor>
  <xdr:twoCellAnchor editAs="oneCell">
    <xdr:from>
      <xdr:col>13</xdr:col>
      <xdr:colOff>91440</xdr:colOff>
      <xdr:row>10</xdr:row>
      <xdr:rowOff>160020</xdr:rowOff>
    </xdr:from>
    <xdr:to>
      <xdr:col>13</xdr:col>
      <xdr:colOff>1505835</xdr:colOff>
      <xdr:row>10</xdr:row>
      <xdr:rowOff>1104982</xdr:rowOff>
    </xdr:to>
    <xdr:pic>
      <xdr:nvPicPr>
        <xdr:cNvPr id="195" name="Picture 194">
          <a:hlinkClick xmlns:r="http://schemas.openxmlformats.org/officeDocument/2006/relationships" r:id="rId1" tooltip="Click Here for Reducing Fittings"/>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32" cstate="email"/>
        <a:stretch>
          <a:fillRect/>
        </a:stretch>
      </xdr:blipFill>
      <xdr:spPr>
        <a:xfrm>
          <a:off x="9692640" y="6088380"/>
          <a:ext cx="1414395" cy="944962"/>
        </a:xfrm>
        <a:prstGeom prst="rect">
          <a:avLst/>
        </a:prstGeom>
      </xdr:spPr>
    </xdr:pic>
    <xdr:clientData/>
  </xdr:twoCellAnchor>
  <xdr:twoCellAnchor editAs="oneCell">
    <xdr:from>
      <xdr:col>11</xdr:col>
      <xdr:colOff>156027</xdr:colOff>
      <xdr:row>10</xdr:row>
      <xdr:rowOff>179614</xdr:rowOff>
    </xdr:from>
    <xdr:to>
      <xdr:col>11</xdr:col>
      <xdr:colOff>1498146</xdr:colOff>
      <xdr:row>10</xdr:row>
      <xdr:rowOff>999470</xdr:rowOff>
    </xdr:to>
    <xdr:pic>
      <xdr:nvPicPr>
        <xdr:cNvPr id="196" name="Picture 195">
          <a:hlinkClick xmlns:r="http://schemas.openxmlformats.org/officeDocument/2006/relationships" r:id="rId1" tooltip="Click Here for Reducing Fittings"/>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33" cstate="email"/>
        <a:stretch>
          <a:fillRect/>
        </a:stretch>
      </xdr:blipFill>
      <xdr:spPr>
        <a:xfrm>
          <a:off x="8447313" y="6330043"/>
          <a:ext cx="1338944" cy="823031"/>
        </a:xfrm>
        <a:prstGeom prst="rect">
          <a:avLst/>
        </a:prstGeom>
      </xdr:spPr>
    </xdr:pic>
    <xdr:clientData/>
  </xdr:twoCellAnchor>
  <xdr:twoCellAnchor>
    <xdr:from>
      <xdr:col>0</xdr:col>
      <xdr:colOff>119742</xdr:colOff>
      <xdr:row>10</xdr:row>
      <xdr:rowOff>0</xdr:rowOff>
    </xdr:from>
    <xdr:to>
      <xdr:col>1</xdr:col>
      <xdr:colOff>1516379</xdr:colOff>
      <xdr:row>11</xdr:row>
      <xdr:rowOff>0</xdr:rowOff>
    </xdr:to>
    <xdr:sp macro="" textlink="">
      <xdr:nvSpPr>
        <xdr:cNvPr id="197" name="Rounded Rectangle 196">
          <a:extLst>
            <a:ext uri="{FF2B5EF4-FFF2-40B4-BE49-F238E27FC236}">
              <a16:creationId xmlns:a16="http://schemas.microsoft.com/office/drawing/2014/main" id="{00000000-0008-0000-0000-0000C5000000}"/>
            </a:ext>
          </a:extLst>
        </xdr:cNvPr>
        <xdr:cNvSpPr>
          <a:spLocks noChangeAspect="1"/>
        </xdr:cNvSpPr>
      </xdr:nvSpPr>
      <xdr:spPr>
        <a:xfrm>
          <a:off x="119742"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91440</xdr:colOff>
      <xdr:row>12</xdr:row>
      <xdr:rowOff>182880</xdr:rowOff>
    </xdr:from>
    <xdr:to>
      <xdr:col>3</xdr:col>
      <xdr:colOff>1505835</xdr:colOff>
      <xdr:row>12</xdr:row>
      <xdr:rowOff>1048587</xdr:rowOff>
    </xdr:to>
    <xdr:pic>
      <xdr:nvPicPr>
        <xdr:cNvPr id="204" name="Picture 203">
          <a:hlinkClick xmlns:r="http://schemas.openxmlformats.org/officeDocument/2006/relationships" r:id="rId3" tooltip="Click Here for Quick Drops, Threaded Quick Drops, &amp; Manifolds"/>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34" cstate="email"/>
        <a:stretch>
          <a:fillRect/>
        </a:stretch>
      </xdr:blipFill>
      <xdr:spPr>
        <a:xfrm>
          <a:off x="1691640" y="7520940"/>
          <a:ext cx="1414395" cy="865707"/>
        </a:xfrm>
        <a:prstGeom prst="rect">
          <a:avLst/>
        </a:prstGeom>
      </xdr:spPr>
    </xdr:pic>
    <xdr:clientData/>
  </xdr:twoCellAnchor>
  <xdr:twoCellAnchor editAs="oneCell">
    <xdr:from>
      <xdr:col>5</xdr:col>
      <xdr:colOff>101649</xdr:colOff>
      <xdr:row>12</xdr:row>
      <xdr:rowOff>169643</xdr:rowOff>
    </xdr:from>
    <xdr:to>
      <xdr:col>5</xdr:col>
      <xdr:colOff>1470193</xdr:colOff>
      <xdr:row>12</xdr:row>
      <xdr:rowOff>1069008</xdr:rowOff>
    </xdr:to>
    <xdr:pic>
      <xdr:nvPicPr>
        <xdr:cNvPr id="206" name="Picture 205">
          <a:hlinkClick xmlns:r="http://schemas.openxmlformats.org/officeDocument/2006/relationships" r:id="rId3" tooltip="Click Here for Quick Drops, Threaded Quick Drops, &amp; Manifolds"/>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35" cstate="email"/>
        <a:stretch>
          <a:fillRect/>
        </a:stretch>
      </xdr:blipFill>
      <xdr:spPr>
        <a:xfrm>
          <a:off x="3501341" y="7731028"/>
          <a:ext cx="1368544" cy="899365"/>
        </a:xfrm>
        <a:prstGeom prst="rect">
          <a:avLst/>
        </a:prstGeom>
      </xdr:spPr>
    </xdr:pic>
    <xdr:clientData/>
  </xdr:twoCellAnchor>
  <xdr:twoCellAnchor editAs="oneCell">
    <xdr:from>
      <xdr:col>9</xdr:col>
      <xdr:colOff>222068</xdr:colOff>
      <xdr:row>12</xdr:row>
      <xdr:rowOff>173083</xdr:rowOff>
    </xdr:from>
    <xdr:to>
      <xdr:col>9</xdr:col>
      <xdr:colOff>1285785</xdr:colOff>
      <xdr:row>12</xdr:row>
      <xdr:rowOff>1151703</xdr:rowOff>
    </xdr:to>
    <xdr:pic>
      <xdr:nvPicPr>
        <xdr:cNvPr id="208" name="Picture 207">
          <a:hlinkClick xmlns:r="http://schemas.openxmlformats.org/officeDocument/2006/relationships" r:id="rId36" tooltip="Click Here for Quick Drops, Threaded Quick Drops, &amp; Manifolds"/>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37" cstate="email"/>
        <a:stretch>
          <a:fillRect/>
        </a:stretch>
      </xdr:blipFill>
      <xdr:spPr>
        <a:xfrm>
          <a:off x="7232468" y="6758940"/>
          <a:ext cx="1066892" cy="975445"/>
        </a:xfrm>
        <a:prstGeom prst="rect">
          <a:avLst/>
        </a:prstGeom>
      </xdr:spPr>
    </xdr:pic>
    <xdr:clientData/>
  </xdr:twoCellAnchor>
  <xdr:twoCellAnchor>
    <xdr:from>
      <xdr:col>1</xdr:col>
      <xdr:colOff>0</xdr:colOff>
      <xdr:row>13</xdr:row>
      <xdr:rowOff>65315</xdr:rowOff>
    </xdr:from>
    <xdr:to>
      <xdr:col>1</xdr:col>
      <xdr:colOff>1516380</xdr:colOff>
      <xdr:row>14</xdr:row>
      <xdr:rowOff>1295400</xdr:rowOff>
    </xdr:to>
    <xdr:sp macro="" textlink="">
      <xdr:nvSpPr>
        <xdr:cNvPr id="214" name="Rounded Rectangle 213">
          <a:extLst>
            <a:ext uri="{FF2B5EF4-FFF2-40B4-BE49-F238E27FC236}">
              <a16:creationId xmlns:a16="http://schemas.microsoft.com/office/drawing/2014/main" id="{00000000-0008-0000-0000-0000D6000000}"/>
            </a:ext>
          </a:extLst>
        </xdr:cNvPr>
        <xdr:cNvSpPr>
          <a:spLocks noChangeAspect="1"/>
        </xdr:cNvSpPr>
      </xdr:nvSpPr>
      <xdr:spPr>
        <a:xfrm>
          <a:off x="119743" y="8860972"/>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243840</xdr:colOff>
      <xdr:row>14</xdr:row>
      <xdr:rowOff>220980</xdr:rowOff>
    </xdr:from>
    <xdr:to>
      <xdr:col>3</xdr:col>
      <xdr:colOff>1408277</xdr:colOff>
      <xdr:row>14</xdr:row>
      <xdr:rowOff>1169117</xdr:rowOff>
    </xdr:to>
    <xdr:pic>
      <xdr:nvPicPr>
        <xdr:cNvPr id="215" name="Picture 214">
          <a:hlinkClick xmlns:r="http://schemas.openxmlformats.org/officeDocument/2006/relationships" r:id="rId38" tooltip="Click Here for Ball Valves, Butterfly Valves, Flanges, &amp; Supports"/>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39" cstate="email"/>
        <a:stretch>
          <a:fillRect/>
        </a:stretch>
      </xdr:blipFill>
      <xdr:spPr>
        <a:xfrm>
          <a:off x="1844040" y="8968740"/>
          <a:ext cx="1164437" cy="944962"/>
        </a:xfrm>
        <a:prstGeom prst="rect">
          <a:avLst/>
        </a:prstGeom>
      </xdr:spPr>
    </xdr:pic>
    <xdr:clientData/>
  </xdr:twoCellAnchor>
  <xdr:twoCellAnchor editAs="oneCell">
    <xdr:from>
      <xdr:col>5</xdr:col>
      <xdr:colOff>182880</xdr:colOff>
      <xdr:row>14</xdr:row>
      <xdr:rowOff>259080</xdr:rowOff>
    </xdr:from>
    <xdr:to>
      <xdr:col>5</xdr:col>
      <xdr:colOff>1298545</xdr:colOff>
      <xdr:row>14</xdr:row>
      <xdr:rowOff>1097226</xdr:rowOff>
    </xdr:to>
    <xdr:pic>
      <xdr:nvPicPr>
        <xdr:cNvPr id="216" name="Picture 215">
          <a:hlinkClick xmlns:r="http://schemas.openxmlformats.org/officeDocument/2006/relationships" r:id="rId38" tooltip="Click Here for Ball Valves, Butterfly Valves, Flanges, &amp; Supports"/>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40" cstate="email"/>
        <a:stretch>
          <a:fillRect/>
        </a:stretch>
      </xdr:blipFill>
      <xdr:spPr>
        <a:xfrm>
          <a:off x="3383280" y="9006840"/>
          <a:ext cx="1115665" cy="841321"/>
        </a:xfrm>
        <a:prstGeom prst="rect">
          <a:avLst/>
        </a:prstGeom>
      </xdr:spPr>
    </xdr:pic>
    <xdr:clientData/>
  </xdr:twoCellAnchor>
  <xdr:twoCellAnchor editAs="oneCell">
    <xdr:from>
      <xdr:col>9</xdr:col>
      <xdr:colOff>220980</xdr:colOff>
      <xdr:row>14</xdr:row>
      <xdr:rowOff>76200</xdr:rowOff>
    </xdr:from>
    <xdr:to>
      <xdr:col>9</xdr:col>
      <xdr:colOff>1275679</xdr:colOff>
      <xdr:row>14</xdr:row>
      <xdr:rowOff>1188943</xdr:rowOff>
    </xdr:to>
    <xdr:pic>
      <xdr:nvPicPr>
        <xdr:cNvPr id="218" name="Picture 217">
          <a:hlinkClick xmlns:r="http://schemas.openxmlformats.org/officeDocument/2006/relationships" r:id="rId38" tooltip="Click Here for Ball Valves, Butterfly Valves, Flanges, &amp; Supports"/>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41" cstate="email"/>
        <a:stretch>
          <a:fillRect/>
        </a:stretch>
      </xdr:blipFill>
      <xdr:spPr>
        <a:xfrm>
          <a:off x="6621780" y="8823960"/>
          <a:ext cx="1054699" cy="1109568"/>
        </a:xfrm>
        <a:prstGeom prst="rect">
          <a:avLst/>
        </a:prstGeom>
      </xdr:spPr>
    </xdr:pic>
    <xdr:clientData/>
  </xdr:twoCellAnchor>
  <xdr:twoCellAnchor editAs="oneCell">
    <xdr:from>
      <xdr:col>11</xdr:col>
      <xdr:colOff>205740</xdr:colOff>
      <xdr:row>14</xdr:row>
      <xdr:rowOff>68580</xdr:rowOff>
    </xdr:from>
    <xdr:to>
      <xdr:col>11</xdr:col>
      <xdr:colOff>1288001</xdr:colOff>
      <xdr:row>14</xdr:row>
      <xdr:rowOff>1193263</xdr:rowOff>
    </xdr:to>
    <xdr:pic>
      <xdr:nvPicPr>
        <xdr:cNvPr id="219" name="Picture 218">
          <a:hlinkClick xmlns:r="http://schemas.openxmlformats.org/officeDocument/2006/relationships" r:id="rId42" tooltip="Click Here for Ball Valves, Butterfly Valves, Flanges, &amp; Supports"/>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43" cstate="email"/>
        <a:stretch>
          <a:fillRect/>
        </a:stretch>
      </xdr:blipFill>
      <xdr:spPr>
        <a:xfrm>
          <a:off x="8206740" y="8816340"/>
          <a:ext cx="1079086" cy="1127858"/>
        </a:xfrm>
        <a:prstGeom prst="rect">
          <a:avLst/>
        </a:prstGeom>
      </xdr:spPr>
    </xdr:pic>
    <xdr:clientData/>
  </xdr:twoCellAnchor>
  <xdr:twoCellAnchor editAs="oneCell">
    <xdr:from>
      <xdr:col>13</xdr:col>
      <xdr:colOff>220980</xdr:colOff>
      <xdr:row>14</xdr:row>
      <xdr:rowOff>99060</xdr:rowOff>
    </xdr:from>
    <xdr:to>
      <xdr:col>13</xdr:col>
      <xdr:colOff>1418821</xdr:colOff>
      <xdr:row>14</xdr:row>
      <xdr:rowOff>1178146</xdr:rowOff>
    </xdr:to>
    <xdr:pic>
      <xdr:nvPicPr>
        <xdr:cNvPr id="220" name="Picture 219">
          <a:hlinkClick xmlns:r="http://schemas.openxmlformats.org/officeDocument/2006/relationships" r:id="rId38" tooltip="Click Here for Ball Valves, Butterfly Valves, Flanges, &amp; Supports"/>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44" cstate="email"/>
        <a:stretch>
          <a:fillRect/>
        </a:stretch>
      </xdr:blipFill>
      <xdr:spPr>
        <a:xfrm>
          <a:off x="9822180" y="8846820"/>
          <a:ext cx="1201016" cy="1079086"/>
        </a:xfrm>
        <a:prstGeom prst="rect">
          <a:avLst/>
        </a:prstGeom>
      </xdr:spPr>
    </xdr:pic>
    <xdr:clientData/>
  </xdr:twoCellAnchor>
  <xdr:twoCellAnchor editAs="oneCell">
    <xdr:from>
      <xdr:col>15</xdr:col>
      <xdr:colOff>152400</xdr:colOff>
      <xdr:row>14</xdr:row>
      <xdr:rowOff>106680</xdr:rowOff>
    </xdr:from>
    <xdr:to>
      <xdr:col>15</xdr:col>
      <xdr:colOff>1389995</xdr:colOff>
      <xdr:row>14</xdr:row>
      <xdr:rowOff>1216248</xdr:rowOff>
    </xdr:to>
    <xdr:pic>
      <xdr:nvPicPr>
        <xdr:cNvPr id="221" name="Picture 220">
          <a:hlinkClick xmlns:r="http://schemas.openxmlformats.org/officeDocument/2006/relationships" r:id="rId45" tooltip="Click Here for Ball Valves, Butterfly Valves, Flanges, &amp; Supports"/>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46" cstate="email"/>
        <a:stretch>
          <a:fillRect/>
        </a:stretch>
      </xdr:blipFill>
      <xdr:spPr>
        <a:xfrm>
          <a:off x="11353800" y="8854440"/>
          <a:ext cx="1237595" cy="1109568"/>
        </a:xfrm>
        <a:prstGeom prst="rect">
          <a:avLst/>
        </a:prstGeom>
      </xdr:spPr>
    </xdr:pic>
    <xdr:clientData/>
  </xdr:twoCellAnchor>
  <xdr:twoCellAnchor editAs="oneCell">
    <xdr:from>
      <xdr:col>5</xdr:col>
      <xdr:colOff>341207</xdr:colOff>
      <xdr:row>20</xdr:row>
      <xdr:rowOff>134621</xdr:rowOff>
    </xdr:from>
    <xdr:to>
      <xdr:col>5</xdr:col>
      <xdr:colOff>1112291</xdr:colOff>
      <xdr:row>20</xdr:row>
      <xdr:rowOff>1228821</xdr:rowOff>
    </xdr:to>
    <xdr:pic>
      <xdr:nvPicPr>
        <xdr:cNvPr id="236" name="Picture 235">
          <a:hlinkClick xmlns:r="http://schemas.openxmlformats.org/officeDocument/2006/relationships" r:id="rId47" tooltip="Click Here for Installation Tool"/>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48" cstate="email"/>
        <a:stretch>
          <a:fillRect/>
        </a:stretch>
      </xdr:blipFill>
      <xdr:spPr>
        <a:xfrm>
          <a:off x="3804074" y="14121554"/>
          <a:ext cx="774259" cy="1097375"/>
        </a:xfrm>
        <a:prstGeom prst="rect">
          <a:avLst/>
        </a:prstGeom>
      </xdr:spPr>
    </xdr:pic>
    <xdr:clientData/>
  </xdr:twoCellAnchor>
  <xdr:twoCellAnchor editAs="oneCell">
    <xdr:from>
      <xdr:col>7</xdr:col>
      <xdr:colOff>100753</xdr:colOff>
      <xdr:row>20</xdr:row>
      <xdr:rowOff>340361</xdr:rowOff>
    </xdr:from>
    <xdr:to>
      <xdr:col>7</xdr:col>
      <xdr:colOff>1383945</xdr:colOff>
      <xdr:row>20</xdr:row>
      <xdr:rowOff>959285</xdr:rowOff>
    </xdr:to>
    <xdr:pic>
      <xdr:nvPicPr>
        <xdr:cNvPr id="237" name="Picture 236">
          <a:hlinkClick xmlns:r="http://schemas.openxmlformats.org/officeDocument/2006/relationships" r:id="rId47" tooltip="Click Here for Installation Tool"/>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49" cstate="email"/>
        <a:stretch>
          <a:fillRect/>
        </a:stretch>
      </xdr:blipFill>
      <xdr:spPr>
        <a:xfrm>
          <a:off x="5163820" y="14327294"/>
          <a:ext cx="1286367" cy="615749"/>
        </a:xfrm>
        <a:prstGeom prst="rect">
          <a:avLst/>
        </a:prstGeom>
      </xdr:spPr>
    </xdr:pic>
    <xdr:clientData/>
  </xdr:twoCellAnchor>
  <xdr:twoCellAnchor editAs="oneCell">
    <xdr:from>
      <xdr:col>9</xdr:col>
      <xdr:colOff>62653</xdr:colOff>
      <xdr:row>20</xdr:row>
      <xdr:rowOff>238760</xdr:rowOff>
    </xdr:from>
    <xdr:to>
      <xdr:col>9</xdr:col>
      <xdr:colOff>1409986</xdr:colOff>
      <xdr:row>20</xdr:row>
      <xdr:rowOff>943036</xdr:rowOff>
    </xdr:to>
    <xdr:pic>
      <xdr:nvPicPr>
        <xdr:cNvPr id="238" name="Picture 237">
          <a:hlinkClick xmlns:r="http://schemas.openxmlformats.org/officeDocument/2006/relationships" r:id="rId47" tooltip="Click Here for Installation Tool"/>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50" cstate="email"/>
        <a:stretch>
          <a:fillRect/>
        </a:stretch>
      </xdr:blipFill>
      <xdr:spPr>
        <a:xfrm>
          <a:off x="6725920" y="14225693"/>
          <a:ext cx="1347333" cy="701101"/>
        </a:xfrm>
        <a:prstGeom prst="rect">
          <a:avLst/>
        </a:prstGeom>
      </xdr:spPr>
    </xdr:pic>
    <xdr:clientData/>
  </xdr:twoCellAnchor>
  <xdr:twoCellAnchor>
    <xdr:from>
      <xdr:col>8</xdr:col>
      <xdr:colOff>64860</xdr:colOff>
      <xdr:row>16</xdr:row>
      <xdr:rowOff>0</xdr:rowOff>
    </xdr:from>
    <xdr:to>
      <xdr:col>9</xdr:col>
      <xdr:colOff>1513205</xdr:colOff>
      <xdr:row>17</xdr:row>
      <xdr:rowOff>0</xdr:rowOff>
    </xdr:to>
    <xdr:sp macro="" textlink="">
      <xdr:nvSpPr>
        <xdr:cNvPr id="242" name="Rounded Rectangle 241">
          <a:extLst>
            <a:ext uri="{FF2B5EF4-FFF2-40B4-BE49-F238E27FC236}">
              <a16:creationId xmlns:a16="http://schemas.microsoft.com/office/drawing/2014/main" id="{00000000-0008-0000-0000-0000F2000000}"/>
            </a:ext>
          </a:extLst>
        </xdr:cNvPr>
        <xdr:cNvSpPr>
          <a:spLocks noChangeAspect="1"/>
        </xdr:cNvSpPr>
      </xdr:nvSpPr>
      <xdr:spPr>
        <a:xfrm>
          <a:off x="6705146" y="10355036"/>
          <a:ext cx="1516380" cy="1319893"/>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16</xdr:row>
      <xdr:rowOff>0</xdr:rowOff>
    </xdr:from>
    <xdr:to>
      <xdr:col>7</xdr:col>
      <xdr:colOff>1508759</xdr:colOff>
      <xdr:row>17</xdr:row>
      <xdr:rowOff>0</xdr:rowOff>
    </xdr:to>
    <xdr:sp macro="" textlink="">
      <xdr:nvSpPr>
        <xdr:cNvPr id="243" name="Rounded Rectangle 242">
          <a:extLst>
            <a:ext uri="{FF2B5EF4-FFF2-40B4-BE49-F238E27FC236}">
              <a16:creationId xmlns:a16="http://schemas.microsoft.com/office/drawing/2014/main" id="{00000000-0008-0000-0000-0000F3000000}"/>
            </a:ext>
          </a:extLst>
        </xdr:cNvPr>
        <xdr:cNvSpPr>
          <a:spLocks noChangeAspect="1"/>
        </xdr:cNvSpPr>
      </xdr:nvSpPr>
      <xdr:spPr>
        <a:xfrm>
          <a:off x="4912722" y="10287000"/>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16</xdr:row>
      <xdr:rowOff>0</xdr:rowOff>
    </xdr:from>
    <xdr:to>
      <xdr:col>5</xdr:col>
      <xdr:colOff>1516380</xdr:colOff>
      <xdr:row>17</xdr:row>
      <xdr:rowOff>0</xdr:rowOff>
    </xdr:to>
    <xdr:sp macro="" textlink="">
      <xdr:nvSpPr>
        <xdr:cNvPr id="244" name="Rounded Rectangle 243">
          <a:extLst>
            <a:ext uri="{FF2B5EF4-FFF2-40B4-BE49-F238E27FC236}">
              <a16:creationId xmlns:a16="http://schemas.microsoft.com/office/drawing/2014/main" id="{00000000-0008-0000-0000-0000F4000000}"/>
            </a:ext>
          </a:extLst>
        </xdr:cNvPr>
        <xdr:cNvSpPr>
          <a:spLocks noChangeAspect="1"/>
        </xdr:cNvSpPr>
      </xdr:nvSpPr>
      <xdr:spPr>
        <a:xfrm>
          <a:off x="3320143" y="10287000"/>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16</xdr:row>
      <xdr:rowOff>0</xdr:rowOff>
    </xdr:from>
    <xdr:to>
      <xdr:col>3</xdr:col>
      <xdr:colOff>1516380</xdr:colOff>
      <xdr:row>17</xdr:row>
      <xdr:rowOff>0</xdr:rowOff>
    </xdr:to>
    <xdr:sp macro="" textlink="">
      <xdr:nvSpPr>
        <xdr:cNvPr id="245" name="Rounded Rectangle 244">
          <a:extLst>
            <a:ext uri="{FF2B5EF4-FFF2-40B4-BE49-F238E27FC236}">
              <a16:creationId xmlns:a16="http://schemas.microsoft.com/office/drawing/2014/main" id="{00000000-0008-0000-0000-0000F5000000}"/>
            </a:ext>
          </a:extLst>
        </xdr:cNvPr>
        <xdr:cNvSpPr>
          <a:spLocks noChangeAspect="1"/>
        </xdr:cNvSpPr>
      </xdr:nvSpPr>
      <xdr:spPr>
        <a:xfrm>
          <a:off x="1719943" y="10287000"/>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119742</xdr:colOff>
      <xdr:row>16</xdr:row>
      <xdr:rowOff>0</xdr:rowOff>
    </xdr:from>
    <xdr:to>
      <xdr:col>1</xdr:col>
      <xdr:colOff>1516379</xdr:colOff>
      <xdr:row>17</xdr:row>
      <xdr:rowOff>0</xdr:rowOff>
    </xdr:to>
    <xdr:sp macro="" textlink="">
      <xdr:nvSpPr>
        <xdr:cNvPr id="252" name="Rounded Rectangle 251">
          <a:extLst>
            <a:ext uri="{FF2B5EF4-FFF2-40B4-BE49-F238E27FC236}">
              <a16:creationId xmlns:a16="http://schemas.microsoft.com/office/drawing/2014/main" id="{00000000-0008-0000-0000-0000FC000000}"/>
            </a:ext>
          </a:extLst>
        </xdr:cNvPr>
        <xdr:cNvSpPr>
          <a:spLocks noChangeAspect="1"/>
        </xdr:cNvSpPr>
      </xdr:nvSpPr>
      <xdr:spPr>
        <a:xfrm>
          <a:off x="119742" y="10287000"/>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281940</xdr:colOff>
      <xdr:row>16</xdr:row>
      <xdr:rowOff>121920</xdr:rowOff>
    </xdr:from>
    <xdr:to>
      <xdr:col>3</xdr:col>
      <xdr:colOff>1302982</xdr:colOff>
      <xdr:row>16</xdr:row>
      <xdr:rowOff>1274164</xdr:rowOff>
    </xdr:to>
    <xdr:pic>
      <xdr:nvPicPr>
        <xdr:cNvPr id="253" name="Picture 252">
          <a:hlinkClick xmlns:r="http://schemas.openxmlformats.org/officeDocument/2006/relationships" r:id="rId7" tooltip="Click Here for Adaptor Unions, NPT Adaptor Kits, &amp; Threaded Connectors"/>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51" cstate="print"/>
        <a:stretch>
          <a:fillRect/>
        </a:stretch>
      </xdr:blipFill>
      <xdr:spPr>
        <a:xfrm>
          <a:off x="1882140" y="12192000"/>
          <a:ext cx="1024217" cy="1152244"/>
        </a:xfrm>
        <a:prstGeom prst="rect">
          <a:avLst/>
        </a:prstGeom>
      </xdr:spPr>
    </xdr:pic>
    <xdr:clientData/>
  </xdr:twoCellAnchor>
  <xdr:twoCellAnchor editAs="oneCell">
    <xdr:from>
      <xdr:col>5</xdr:col>
      <xdr:colOff>281940</xdr:colOff>
      <xdr:row>16</xdr:row>
      <xdr:rowOff>121920</xdr:rowOff>
    </xdr:from>
    <xdr:to>
      <xdr:col>5</xdr:col>
      <xdr:colOff>1354929</xdr:colOff>
      <xdr:row>16</xdr:row>
      <xdr:rowOff>1201006</xdr:rowOff>
    </xdr:to>
    <xdr:pic>
      <xdr:nvPicPr>
        <xdr:cNvPr id="254" name="Picture 253">
          <a:hlinkClick xmlns:r="http://schemas.openxmlformats.org/officeDocument/2006/relationships" r:id="rId7" tooltip="Click Here for Adaptor Unions, NPT Adaptor Kits, &amp; Threaded Connectors"/>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52" cstate="print"/>
        <a:stretch>
          <a:fillRect/>
        </a:stretch>
      </xdr:blipFill>
      <xdr:spPr>
        <a:xfrm>
          <a:off x="3482340" y="12192000"/>
          <a:ext cx="1072989" cy="1079086"/>
        </a:xfrm>
        <a:prstGeom prst="rect">
          <a:avLst/>
        </a:prstGeom>
      </xdr:spPr>
    </xdr:pic>
    <xdr:clientData/>
  </xdr:twoCellAnchor>
  <xdr:twoCellAnchor editAs="oneCell">
    <xdr:from>
      <xdr:col>7</xdr:col>
      <xdr:colOff>161109</xdr:colOff>
      <xdr:row>16</xdr:row>
      <xdr:rowOff>139337</xdr:rowOff>
    </xdr:from>
    <xdr:to>
      <xdr:col>7</xdr:col>
      <xdr:colOff>1340914</xdr:colOff>
      <xdr:row>16</xdr:row>
      <xdr:rowOff>1279388</xdr:rowOff>
    </xdr:to>
    <xdr:pic>
      <xdr:nvPicPr>
        <xdr:cNvPr id="271" name="Picture 270">
          <a:hlinkClick xmlns:r="http://schemas.openxmlformats.org/officeDocument/2006/relationships" r:id="rId7" tooltip="Click Here for Adaptor Unions, NPT Adaptor Kits, &amp; Threaded Connectors"/>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53" cstate="print"/>
        <a:stretch>
          <a:fillRect/>
        </a:stretch>
      </xdr:blipFill>
      <xdr:spPr>
        <a:xfrm>
          <a:off x="5571309" y="9446623"/>
          <a:ext cx="1176630" cy="1140051"/>
        </a:xfrm>
        <a:prstGeom prst="rect">
          <a:avLst/>
        </a:prstGeom>
      </xdr:spPr>
    </xdr:pic>
    <xdr:clientData/>
  </xdr:twoCellAnchor>
  <xdr:twoCellAnchor>
    <xdr:from>
      <xdr:col>9</xdr:col>
      <xdr:colOff>0</xdr:colOff>
      <xdr:row>20</xdr:row>
      <xdr:rowOff>0</xdr:rowOff>
    </xdr:from>
    <xdr:to>
      <xdr:col>9</xdr:col>
      <xdr:colOff>1516380</xdr:colOff>
      <xdr:row>21</xdr:row>
      <xdr:rowOff>0</xdr:rowOff>
    </xdr:to>
    <xdr:sp macro="" textlink="">
      <xdr:nvSpPr>
        <xdr:cNvPr id="288" name="Rounded Rectangle 287">
          <a:extLst>
            <a:ext uri="{FF2B5EF4-FFF2-40B4-BE49-F238E27FC236}">
              <a16:creationId xmlns:a16="http://schemas.microsoft.com/office/drawing/2014/main" id="{00000000-0008-0000-0000-000020010000}"/>
            </a:ext>
          </a:extLst>
        </xdr:cNvPr>
        <xdr:cNvSpPr>
          <a:spLocks noChangeAspect="1"/>
        </xdr:cNvSpPr>
      </xdr:nvSpPr>
      <xdr:spPr>
        <a:xfrm>
          <a:off x="6520543" y="130955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20</xdr:row>
      <xdr:rowOff>0</xdr:rowOff>
    </xdr:from>
    <xdr:to>
      <xdr:col>7</xdr:col>
      <xdr:colOff>1508759</xdr:colOff>
      <xdr:row>21</xdr:row>
      <xdr:rowOff>0</xdr:rowOff>
    </xdr:to>
    <xdr:sp macro="" textlink="">
      <xdr:nvSpPr>
        <xdr:cNvPr id="292" name="Rounded Rectangle 291">
          <a:extLst>
            <a:ext uri="{FF2B5EF4-FFF2-40B4-BE49-F238E27FC236}">
              <a16:creationId xmlns:a16="http://schemas.microsoft.com/office/drawing/2014/main" id="{00000000-0008-0000-0000-000024010000}"/>
            </a:ext>
          </a:extLst>
        </xdr:cNvPr>
        <xdr:cNvSpPr>
          <a:spLocks noChangeAspect="1"/>
        </xdr:cNvSpPr>
      </xdr:nvSpPr>
      <xdr:spPr>
        <a:xfrm>
          <a:off x="4912722" y="130955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119742</xdr:colOff>
      <xdr:row>20</xdr:row>
      <xdr:rowOff>0</xdr:rowOff>
    </xdr:from>
    <xdr:to>
      <xdr:col>1</xdr:col>
      <xdr:colOff>1516379</xdr:colOff>
      <xdr:row>21</xdr:row>
      <xdr:rowOff>0</xdr:rowOff>
    </xdr:to>
    <xdr:sp macro="" textlink="">
      <xdr:nvSpPr>
        <xdr:cNvPr id="293" name="Rounded Rectangle 292">
          <a:extLst>
            <a:ext uri="{FF2B5EF4-FFF2-40B4-BE49-F238E27FC236}">
              <a16:creationId xmlns:a16="http://schemas.microsoft.com/office/drawing/2014/main" id="{00000000-0008-0000-0000-000025010000}"/>
            </a:ext>
          </a:extLst>
        </xdr:cNvPr>
        <xdr:cNvSpPr>
          <a:spLocks noChangeAspect="1"/>
        </xdr:cNvSpPr>
      </xdr:nvSpPr>
      <xdr:spPr>
        <a:xfrm>
          <a:off x="119742" y="130955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20</xdr:row>
      <xdr:rowOff>0</xdr:rowOff>
    </xdr:from>
    <xdr:to>
      <xdr:col>5</xdr:col>
      <xdr:colOff>1516380</xdr:colOff>
      <xdr:row>21</xdr:row>
      <xdr:rowOff>0</xdr:rowOff>
    </xdr:to>
    <xdr:sp macro="" textlink="">
      <xdr:nvSpPr>
        <xdr:cNvPr id="295" name="Rounded Rectangle 294">
          <a:extLst>
            <a:ext uri="{FF2B5EF4-FFF2-40B4-BE49-F238E27FC236}">
              <a16:creationId xmlns:a16="http://schemas.microsoft.com/office/drawing/2014/main" id="{00000000-0008-0000-0000-000027010000}"/>
            </a:ext>
          </a:extLst>
        </xdr:cNvPr>
        <xdr:cNvSpPr>
          <a:spLocks noChangeAspect="1"/>
        </xdr:cNvSpPr>
      </xdr:nvSpPr>
      <xdr:spPr>
        <a:xfrm>
          <a:off x="3320143" y="130955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18</xdr:row>
      <xdr:rowOff>0</xdr:rowOff>
    </xdr:from>
    <xdr:to>
      <xdr:col>11</xdr:col>
      <xdr:colOff>1516380</xdr:colOff>
      <xdr:row>19</xdr:row>
      <xdr:rowOff>0</xdr:rowOff>
    </xdr:to>
    <xdr:sp macro="" textlink="">
      <xdr:nvSpPr>
        <xdr:cNvPr id="297" name="Rounded Rectangle 296">
          <a:extLst>
            <a:ext uri="{FF2B5EF4-FFF2-40B4-BE49-F238E27FC236}">
              <a16:creationId xmlns:a16="http://schemas.microsoft.com/office/drawing/2014/main" id="{00000000-0008-0000-0000-000029010000}"/>
            </a:ext>
          </a:extLst>
        </xdr:cNvPr>
        <xdr:cNvSpPr>
          <a:spLocks noChangeAspect="1"/>
        </xdr:cNvSpPr>
      </xdr:nvSpPr>
      <xdr:spPr>
        <a:xfrm>
          <a:off x="8120743"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18</xdr:row>
      <xdr:rowOff>0</xdr:rowOff>
    </xdr:from>
    <xdr:to>
      <xdr:col>7</xdr:col>
      <xdr:colOff>1508759</xdr:colOff>
      <xdr:row>19</xdr:row>
      <xdr:rowOff>0</xdr:rowOff>
    </xdr:to>
    <xdr:sp macro="" textlink="">
      <xdr:nvSpPr>
        <xdr:cNvPr id="300" name="Rounded Rectangle 299">
          <a:extLst>
            <a:ext uri="{FF2B5EF4-FFF2-40B4-BE49-F238E27FC236}">
              <a16:creationId xmlns:a16="http://schemas.microsoft.com/office/drawing/2014/main" id="{00000000-0008-0000-0000-00002C010000}"/>
            </a:ext>
          </a:extLst>
        </xdr:cNvPr>
        <xdr:cNvSpPr>
          <a:spLocks noChangeAspect="1"/>
        </xdr:cNvSpPr>
      </xdr:nvSpPr>
      <xdr:spPr>
        <a:xfrm>
          <a:off x="4912722"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119742</xdr:colOff>
      <xdr:row>18</xdr:row>
      <xdr:rowOff>0</xdr:rowOff>
    </xdr:from>
    <xdr:to>
      <xdr:col>1</xdr:col>
      <xdr:colOff>1516379</xdr:colOff>
      <xdr:row>19</xdr:row>
      <xdr:rowOff>0</xdr:rowOff>
    </xdr:to>
    <xdr:sp macro="" textlink="">
      <xdr:nvSpPr>
        <xdr:cNvPr id="301" name="Rounded Rectangle 300">
          <a:extLst>
            <a:ext uri="{FF2B5EF4-FFF2-40B4-BE49-F238E27FC236}">
              <a16:creationId xmlns:a16="http://schemas.microsoft.com/office/drawing/2014/main" id="{00000000-0008-0000-0000-00002D010000}"/>
            </a:ext>
          </a:extLst>
        </xdr:cNvPr>
        <xdr:cNvSpPr>
          <a:spLocks noChangeAspect="1"/>
        </xdr:cNvSpPr>
      </xdr:nvSpPr>
      <xdr:spPr>
        <a:xfrm>
          <a:off x="119742"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18</xdr:row>
      <xdr:rowOff>0</xdr:rowOff>
    </xdr:from>
    <xdr:to>
      <xdr:col>5</xdr:col>
      <xdr:colOff>1516380</xdr:colOff>
      <xdr:row>19</xdr:row>
      <xdr:rowOff>0</xdr:rowOff>
    </xdr:to>
    <xdr:sp macro="" textlink="">
      <xdr:nvSpPr>
        <xdr:cNvPr id="303" name="Rounded Rectangle 302">
          <a:extLst>
            <a:ext uri="{FF2B5EF4-FFF2-40B4-BE49-F238E27FC236}">
              <a16:creationId xmlns:a16="http://schemas.microsoft.com/office/drawing/2014/main" id="{00000000-0008-0000-0000-00002F010000}"/>
            </a:ext>
          </a:extLst>
        </xdr:cNvPr>
        <xdr:cNvSpPr>
          <a:spLocks noChangeAspect="1"/>
        </xdr:cNvSpPr>
      </xdr:nvSpPr>
      <xdr:spPr>
        <a:xfrm>
          <a:off x="3320143"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12</xdr:row>
      <xdr:rowOff>0</xdr:rowOff>
    </xdr:from>
    <xdr:to>
      <xdr:col>13</xdr:col>
      <xdr:colOff>1516380</xdr:colOff>
      <xdr:row>13</xdr:row>
      <xdr:rowOff>0</xdr:rowOff>
    </xdr:to>
    <xdr:sp macro="" textlink="">
      <xdr:nvSpPr>
        <xdr:cNvPr id="269" name="Rounded Rectangle 268">
          <a:extLst>
            <a:ext uri="{FF2B5EF4-FFF2-40B4-BE49-F238E27FC236}">
              <a16:creationId xmlns:a16="http://schemas.microsoft.com/office/drawing/2014/main" id="{00000000-0008-0000-0000-00000D010000}"/>
            </a:ext>
          </a:extLst>
        </xdr:cNvPr>
        <xdr:cNvSpPr>
          <a:spLocks noChangeAspect="1"/>
        </xdr:cNvSpPr>
      </xdr:nvSpPr>
      <xdr:spPr>
        <a:xfrm>
          <a:off x="9720943" y="7478486"/>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12</xdr:row>
      <xdr:rowOff>0</xdr:rowOff>
    </xdr:from>
    <xdr:to>
      <xdr:col>9</xdr:col>
      <xdr:colOff>1516380</xdr:colOff>
      <xdr:row>13</xdr:row>
      <xdr:rowOff>0</xdr:rowOff>
    </xdr:to>
    <xdr:sp macro="" textlink="">
      <xdr:nvSpPr>
        <xdr:cNvPr id="280" name="Rounded Rectangle 279">
          <a:extLst>
            <a:ext uri="{FF2B5EF4-FFF2-40B4-BE49-F238E27FC236}">
              <a16:creationId xmlns:a16="http://schemas.microsoft.com/office/drawing/2014/main" id="{00000000-0008-0000-0000-000018010000}"/>
            </a:ext>
          </a:extLst>
        </xdr:cNvPr>
        <xdr:cNvSpPr>
          <a:spLocks noChangeAspect="1"/>
        </xdr:cNvSpPr>
      </xdr:nvSpPr>
      <xdr:spPr>
        <a:xfrm>
          <a:off x="6520543" y="7478486"/>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12</xdr:row>
      <xdr:rowOff>0</xdr:rowOff>
    </xdr:from>
    <xdr:to>
      <xdr:col>11</xdr:col>
      <xdr:colOff>1516380</xdr:colOff>
      <xdr:row>13</xdr:row>
      <xdr:rowOff>0</xdr:rowOff>
    </xdr:to>
    <xdr:sp macro="" textlink="">
      <xdr:nvSpPr>
        <xdr:cNvPr id="282" name="Rounded Rectangle 281">
          <a:extLst>
            <a:ext uri="{FF2B5EF4-FFF2-40B4-BE49-F238E27FC236}">
              <a16:creationId xmlns:a16="http://schemas.microsoft.com/office/drawing/2014/main" id="{00000000-0008-0000-0000-00001A010000}"/>
            </a:ext>
          </a:extLst>
        </xdr:cNvPr>
        <xdr:cNvSpPr>
          <a:spLocks noChangeAspect="1"/>
        </xdr:cNvSpPr>
      </xdr:nvSpPr>
      <xdr:spPr>
        <a:xfrm>
          <a:off x="8120743" y="7478486"/>
          <a:ext cx="1516380" cy="1317171"/>
        </a:xfrm>
        <a:prstGeom prst="roundRect">
          <a:avLst/>
        </a:prstGeom>
        <a:noFill/>
        <a:ln w="15875" cap="flat" cmpd="sng" algn="ctr">
          <a:solidFill>
            <a:srgbClr val="4F5358"/>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lientData/>
  </xdr:twoCellAnchor>
  <xdr:twoCellAnchor>
    <xdr:from>
      <xdr:col>0</xdr:col>
      <xdr:colOff>119742</xdr:colOff>
      <xdr:row>24</xdr:row>
      <xdr:rowOff>0</xdr:rowOff>
    </xdr:from>
    <xdr:to>
      <xdr:col>1</xdr:col>
      <xdr:colOff>1516379</xdr:colOff>
      <xdr:row>25</xdr:row>
      <xdr:rowOff>0</xdr:rowOff>
    </xdr:to>
    <xdr:sp macro="" textlink="">
      <xdr:nvSpPr>
        <xdr:cNvPr id="256" name="Rounded Rectangle 255">
          <a:extLst>
            <a:ext uri="{FF2B5EF4-FFF2-40B4-BE49-F238E27FC236}">
              <a16:creationId xmlns:a16="http://schemas.microsoft.com/office/drawing/2014/main" id="{00000000-0008-0000-0000-000000010000}"/>
            </a:ext>
          </a:extLst>
        </xdr:cNvPr>
        <xdr:cNvSpPr>
          <a:spLocks noChangeAspect="1"/>
        </xdr:cNvSpPr>
      </xdr:nvSpPr>
      <xdr:spPr>
        <a:xfrm>
          <a:off x="119742" y="159040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17</xdr:row>
      <xdr:rowOff>76201</xdr:rowOff>
    </xdr:from>
    <xdr:to>
      <xdr:col>9</xdr:col>
      <xdr:colOff>1516380</xdr:colOff>
      <xdr:row>18</xdr:row>
      <xdr:rowOff>1306287</xdr:rowOff>
    </xdr:to>
    <xdr:grpSp>
      <xdr:nvGrpSpPr>
        <xdr:cNvPr id="326" name="Group 325">
          <a:extLst>
            <a:ext uri="{FF2B5EF4-FFF2-40B4-BE49-F238E27FC236}">
              <a16:creationId xmlns:a16="http://schemas.microsoft.com/office/drawing/2014/main" id="{00000000-0008-0000-0000-000046010000}"/>
            </a:ext>
          </a:extLst>
        </xdr:cNvPr>
        <xdr:cNvGrpSpPr/>
      </xdr:nvGrpSpPr>
      <xdr:grpSpPr>
        <a:xfrm>
          <a:off x="6682154" y="11799278"/>
          <a:ext cx="1513205" cy="1329488"/>
          <a:chOff x="1719943" y="11691257"/>
          <a:chExt cx="1516380" cy="1317172"/>
        </a:xfrm>
      </xdr:grpSpPr>
      <xdr:sp macro="" textlink="">
        <xdr:nvSpPr>
          <xdr:cNvPr id="302" name="Rounded Rectangle 301">
            <a:extLst>
              <a:ext uri="{FF2B5EF4-FFF2-40B4-BE49-F238E27FC236}">
                <a16:creationId xmlns:a16="http://schemas.microsoft.com/office/drawing/2014/main" id="{00000000-0008-0000-0000-00002E010000}"/>
              </a:ext>
            </a:extLst>
          </xdr:cNvPr>
          <xdr:cNvSpPr>
            <a:spLocks noChangeAspect="1"/>
          </xdr:cNvSpPr>
        </xdr:nvSpPr>
        <xdr:spPr>
          <a:xfrm>
            <a:off x="1719943"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66" name="Picture 265">
            <a:hlinkClick xmlns:r="http://schemas.openxmlformats.org/officeDocument/2006/relationships" r:id="rId54" tooltip="Click Here for Installation Materials"/>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55" cstate="email"/>
          <a:stretch>
            <a:fillRect/>
          </a:stretch>
        </xdr:blipFill>
        <xdr:spPr>
          <a:xfrm>
            <a:off x="2068287" y="11876314"/>
            <a:ext cx="896190" cy="951058"/>
          </a:xfrm>
          <a:prstGeom prst="rect">
            <a:avLst/>
          </a:prstGeom>
        </xdr:spPr>
      </xdr:pic>
    </xdr:grpSp>
    <xdr:clientData/>
  </xdr:twoCellAnchor>
  <xdr:twoCellAnchor editAs="oneCell">
    <xdr:from>
      <xdr:col>5</xdr:col>
      <xdr:colOff>283029</xdr:colOff>
      <xdr:row>18</xdr:row>
      <xdr:rowOff>119743</xdr:rowOff>
    </xdr:from>
    <xdr:to>
      <xdr:col>5</xdr:col>
      <xdr:colOff>1306273</xdr:colOff>
      <xdr:row>18</xdr:row>
      <xdr:rowOff>1142208</xdr:rowOff>
    </xdr:to>
    <xdr:pic>
      <xdr:nvPicPr>
        <xdr:cNvPr id="267" name="Picture 1">
          <a:hlinkClick xmlns:r="http://schemas.openxmlformats.org/officeDocument/2006/relationships" r:id="rId54" tooltip="Click Here for Installation Materials"/>
          <a:extLst>
            <a:ext uri="{FF2B5EF4-FFF2-40B4-BE49-F238E27FC236}">
              <a16:creationId xmlns:a16="http://schemas.microsoft.com/office/drawing/2014/main" id="{00000000-0008-0000-0000-00000B010000}"/>
            </a:ext>
          </a:extLst>
        </xdr:cNvPr>
        <xdr:cNvPicPr>
          <a:picLocks noChangeAspect="1" noChangeArrowheads="1"/>
        </xdr:cNvPicPr>
      </xdr:nvPicPr>
      <xdr:blipFill>
        <a:blip xmlns:r="http://schemas.openxmlformats.org/officeDocument/2006/relationships" r:embed="rId56" cstate="email"/>
        <a:srcRect/>
        <a:stretch>
          <a:fillRect/>
        </a:stretch>
      </xdr:blipFill>
      <xdr:spPr bwMode="auto">
        <a:xfrm>
          <a:off x="3744686" y="13193486"/>
          <a:ext cx="1020069" cy="1022465"/>
        </a:xfrm>
        <a:prstGeom prst="rect">
          <a:avLst/>
        </a:prstGeom>
        <a:noFill/>
        <a:ln w="1">
          <a:noFill/>
          <a:miter lim="800000"/>
          <a:headEnd/>
          <a:tailEnd type="none" w="med" len="med"/>
        </a:ln>
        <a:effectLst/>
      </xdr:spPr>
    </xdr:pic>
    <xdr:clientData/>
  </xdr:twoCellAnchor>
  <xdr:twoCellAnchor>
    <xdr:from>
      <xdr:col>7</xdr:col>
      <xdr:colOff>326571</xdr:colOff>
      <xdr:row>18</xdr:row>
      <xdr:rowOff>217714</xdr:rowOff>
    </xdr:from>
    <xdr:to>
      <xdr:col>7</xdr:col>
      <xdr:colOff>1279071</xdr:colOff>
      <xdr:row>18</xdr:row>
      <xdr:rowOff>1189532</xdr:rowOff>
    </xdr:to>
    <xdr:pic>
      <xdr:nvPicPr>
        <xdr:cNvPr id="268" name="Picture 267">
          <a:hlinkClick xmlns:r="http://schemas.openxmlformats.org/officeDocument/2006/relationships" r:id="rId54" tooltip="Click Here for Installation Materials"/>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57" cstate="email"/>
        <a:stretch>
          <a:fillRect/>
        </a:stretch>
      </xdr:blipFill>
      <xdr:spPr>
        <a:xfrm flipH="1">
          <a:off x="5388428" y="13291457"/>
          <a:ext cx="952500" cy="971818"/>
        </a:xfrm>
        <a:prstGeom prst="rect">
          <a:avLst/>
        </a:prstGeom>
      </xdr:spPr>
    </xdr:pic>
    <xdr:clientData/>
  </xdr:twoCellAnchor>
  <xdr:twoCellAnchor editAs="oneCell">
    <xdr:from>
      <xdr:col>11</xdr:col>
      <xdr:colOff>108857</xdr:colOff>
      <xdr:row>18</xdr:row>
      <xdr:rowOff>239486</xdr:rowOff>
    </xdr:from>
    <xdr:to>
      <xdr:col>11</xdr:col>
      <xdr:colOff>1477282</xdr:colOff>
      <xdr:row>18</xdr:row>
      <xdr:rowOff>922111</xdr:rowOff>
    </xdr:to>
    <xdr:pic>
      <xdr:nvPicPr>
        <xdr:cNvPr id="286" name="Picture 285">
          <a:hlinkClick xmlns:r="http://schemas.openxmlformats.org/officeDocument/2006/relationships" r:id="rId54" tooltip="Click Here for Installation Materials"/>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58" cstate="email"/>
        <a:stretch>
          <a:fillRect/>
        </a:stretch>
      </xdr:blipFill>
      <xdr:spPr>
        <a:xfrm>
          <a:off x="8371114" y="13313229"/>
          <a:ext cx="1371600" cy="685800"/>
        </a:xfrm>
        <a:prstGeom prst="rect">
          <a:avLst/>
        </a:prstGeom>
      </xdr:spPr>
    </xdr:pic>
    <xdr:clientData/>
  </xdr:twoCellAnchor>
  <xdr:twoCellAnchor>
    <xdr:from>
      <xdr:col>13</xdr:col>
      <xdr:colOff>0</xdr:colOff>
      <xdr:row>18</xdr:row>
      <xdr:rowOff>0</xdr:rowOff>
    </xdr:from>
    <xdr:to>
      <xdr:col>13</xdr:col>
      <xdr:colOff>1516380</xdr:colOff>
      <xdr:row>19</xdr:row>
      <xdr:rowOff>0</xdr:rowOff>
    </xdr:to>
    <xdr:grpSp>
      <xdr:nvGrpSpPr>
        <xdr:cNvPr id="324" name="Group 323">
          <a:hlinkClick xmlns:r="http://schemas.openxmlformats.org/officeDocument/2006/relationships" r:id="rId59"/>
          <a:extLst>
            <a:ext uri="{FF2B5EF4-FFF2-40B4-BE49-F238E27FC236}">
              <a16:creationId xmlns:a16="http://schemas.microsoft.com/office/drawing/2014/main" id="{00000000-0008-0000-0000-000044010000}"/>
            </a:ext>
          </a:extLst>
        </xdr:cNvPr>
        <xdr:cNvGrpSpPr/>
      </xdr:nvGrpSpPr>
      <xdr:grpSpPr>
        <a:xfrm>
          <a:off x="9964615" y="11825654"/>
          <a:ext cx="1513205" cy="1318846"/>
          <a:chOff x="9720943" y="11691257"/>
          <a:chExt cx="1516380" cy="1317172"/>
        </a:xfrm>
      </xdr:grpSpPr>
      <xdr:sp macro="" textlink="">
        <xdr:nvSpPr>
          <xdr:cNvPr id="298" name="Rounded Rectangle 297">
            <a:extLst>
              <a:ext uri="{FF2B5EF4-FFF2-40B4-BE49-F238E27FC236}">
                <a16:creationId xmlns:a16="http://schemas.microsoft.com/office/drawing/2014/main" id="{00000000-0008-0000-0000-00002A010000}"/>
              </a:ext>
            </a:extLst>
          </xdr:cNvPr>
          <xdr:cNvSpPr>
            <a:spLocks noChangeAspect="1"/>
          </xdr:cNvSpPr>
        </xdr:nvSpPr>
        <xdr:spPr>
          <a:xfrm>
            <a:off x="9720943"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87" name="Picture 6">
            <a:hlinkClick xmlns:r="http://schemas.openxmlformats.org/officeDocument/2006/relationships" r:id="rId54" tooltip="Click Here for Installation Materials"/>
            <a:extLst>
              <a:ext uri="{FF2B5EF4-FFF2-40B4-BE49-F238E27FC236}">
                <a16:creationId xmlns:a16="http://schemas.microsoft.com/office/drawing/2014/main" id="{00000000-0008-0000-0000-00001F010000}"/>
              </a:ext>
            </a:extLst>
          </xdr:cNvPr>
          <xdr:cNvPicPr>
            <a:picLocks noChangeAspect="1" noChangeArrowheads="1"/>
          </xdr:cNvPicPr>
        </xdr:nvPicPr>
        <xdr:blipFill>
          <a:blip xmlns:r="http://schemas.openxmlformats.org/officeDocument/2006/relationships" r:embed="rId60" cstate="email"/>
          <a:srcRect/>
          <a:stretch>
            <a:fillRect/>
          </a:stretch>
        </xdr:blipFill>
        <xdr:spPr bwMode="auto">
          <a:xfrm rot="5400000">
            <a:off x="9884603" y="11767084"/>
            <a:ext cx="1142253" cy="1121229"/>
          </a:xfrm>
          <a:prstGeom prst="rect">
            <a:avLst/>
          </a:prstGeom>
          <a:noFill/>
          <a:ln w="1">
            <a:noFill/>
            <a:miter lim="800000"/>
            <a:headEnd/>
            <a:tailEnd type="none" w="med" len="med"/>
          </a:ln>
          <a:effectLst/>
        </xdr:spPr>
      </xdr:pic>
    </xdr:grpSp>
    <xdr:clientData/>
  </xdr:twoCellAnchor>
  <xdr:twoCellAnchor editAs="oneCell">
    <xdr:from>
      <xdr:col>1</xdr:col>
      <xdr:colOff>76200</xdr:colOff>
      <xdr:row>6</xdr:row>
      <xdr:rowOff>161924</xdr:rowOff>
    </xdr:from>
    <xdr:to>
      <xdr:col>1</xdr:col>
      <xdr:colOff>1439863</xdr:colOff>
      <xdr:row>6</xdr:row>
      <xdr:rowOff>1198519</xdr:rowOff>
    </xdr:to>
    <xdr:pic>
      <xdr:nvPicPr>
        <xdr:cNvPr id="3076" name="Picture 4">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040C0000}"/>
            </a:ext>
          </a:extLst>
        </xdr:cNvPr>
        <xdr:cNvPicPr>
          <a:picLocks noChangeAspect="1" noChangeArrowheads="1"/>
        </xdr:cNvPicPr>
      </xdr:nvPicPr>
      <xdr:blipFill>
        <a:blip xmlns:r="http://schemas.openxmlformats.org/officeDocument/2006/relationships" r:embed="rId61" cstate="email"/>
        <a:srcRect/>
        <a:stretch>
          <a:fillRect/>
        </a:stretch>
      </xdr:blipFill>
      <xdr:spPr bwMode="auto">
        <a:xfrm>
          <a:off x="195943" y="3427638"/>
          <a:ext cx="1366838" cy="1036595"/>
        </a:xfrm>
        <a:prstGeom prst="rect">
          <a:avLst/>
        </a:prstGeom>
        <a:noFill/>
        <a:ln w="1">
          <a:noFill/>
          <a:miter lim="800000"/>
          <a:headEnd/>
          <a:tailEnd type="none" w="med" len="med"/>
        </a:ln>
        <a:effectLst/>
      </xdr:spPr>
    </xdr:pic>
    <xdr:clientData/>
  </xdr:twoCellAnchor>
  <xdr:twoCellAnchor editAs="oneCell">
    <xdr:from>
      <xdr:col>1</xdr:col>
      <xdr:colOff>42863</xdr:colOff>
      <xdr:row>8</xdr:row>
      <xdr:rowOff>114300</xdr:rowOff>
    </xdr:from>
    <xdr:to>
      <xdr:col>1</xdr:col>
      <xdr:colOff>1454150</xdr:colOff>
      <xdr:row>8</xdr:row>
      <xdr:rowOff>1190188</xdr:rowOff>
    </xdr:to>
    <xdr:pic>
      <xdr:nvPicPr>
        <xdr:cNvPr id="3077" name="Picture 5">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61" cstate="email"/>
        <a:srcRect/>
        <a:stretch>
          <a:fillRect/>
        </a:stretch>
      </xdr:blipFill>
      <xdr:spPr bwMode="auto">
        <a:xfrm>
          <a:off x="300038" y="4852988"/>
          <a:ext cx="1414462" cy="1072713"/>
        </a:xfrm>
        <a:prstGeom prst="rect">
          <a:avLst/>
        </a:prstGeom>
        <a:noFill/>
        <a:ln w="1">
          <a:noFill/>
          <a:miter lim="800000"/>
          <a:headEnd/>
          <a:tailEnd type="none" w="med" len="med"/>
        </a:ln>
        <a:effectLst/>
      </xdr:spPr>
    </xdr:pic>
    <xdr:clientData/>
  </xdr:twoCellAnchor>
  <xdr:twoCellAnchor editAs="oneCell">
    <xdr:from>
      <xdr:col>1</xdr:col>
      <xdr:colOff>76201</xdr:colOff>
      <xdr:row>10</xdr:row>
      <xdr:rowOff>90489</xdr:rowOff>
    </xdr:from>
    <xdr:to>
      <xdr:col>1</xdr:col>
      <xdr:colOff>1447800</xdr:colOff>
      <xdr:row>10</xdr:row>
      <xdr:rowOff>1210081</xdr:rowOff>
    </xdr:to>
    <xdr:pic>
      <xdr:nvPicPr>
        <xdr:cNvPr id="3078" name="Picture 6">
          <a:hlinkClick xmlns:r="http://schemas.openxmlformats.org/officeDocument/2006/relationships" r:id="rId62" tooltip="Click Here for Reducing Fittings"/>
          <a:extLst>
            <a:ext uri="{FF2B5EF4-FFF2-40B4-BE49-F238E27FC236}">
              <a16:creationId xmlns:a16="http://schemas.microsoft.com/office/drawing/2014/main" id="{00000000-0008-0000-0000-0000060C0000}"/>
            </a:ext>
          </a:extLst>
        </xdr:cNvPr>
        <xdr:cNvPicPr>
          <a:picLocks noChangeAspect="1" noChangeArrowheads="1"/>
        </xdr:cNvPicPr>
      </xdr:nvPicPr>
      <xdr:blipFill>
        <a:blip xmlns:r="http://schemas.openxmlformats.org/officeDocument/2006/relationships" r:embed="rId63" cstate="print"/>
        <a:srcRect/>
        <a:stretch>
          <a:fillRect/>
        </a:stretch>
      </xdr:blipFill>
      <xdr:spPr bwMode="auto">
        <a:xfrm>
          <a:off x="333376" y="6238877"/>
          <a:ext cx="1371599" cy="1116417"/>
        </a:xfrm>
        <a:prstGeom prst="rect">
          <a:avLst/>
        </a:prstGeom>
        <a:noFill/>
        <a:ln w="1">
          <a:noFill/>
          <a:miter lim="800000"/>
          <a:headEnd/>
          <a:tailEnd type="none" w="med" len="med"/>
        </a:ln>
        <a:effectLst/>
      </xdr:spPr>
    </xdr:pic>
    <xdr:clientData/>
  </xdr:twoCellAnchor>
  <xdr:twoCellAnchor editAs="oneCell">
    <xdr:from>
      <xdr:col>1</xdr:col>
      <xdr:colOff>38100</xdr:colOff>
      <xdr:row>14</xdr:row>
      <xdr:rowOff>140606</xdr:rowOff>
    </xdr:from>
    <xdr:to>
      <xdr:col>1</xdr:col>
      <xdr:colOff>1483598</xdr:colOff>
      <xdr:row>14</xdr:row>
      <xdr:rowOff>1123950</xdr:rowOff>
    </xdr:to>
    <xdr:pic>
      <xdr:nvPicPr>
        <xdr:cNvPr id="3080" name="Picture 8">
          <a:hlinkClick xmlns:r="http://schemas.openxmlformats.org/officeDocument/2006/relationships" r:id="rId38" tooltip="Click Here for Ball Valves, Butterfly Valves, Flanges, &amp; Supports"/>
          <a:extLst>
            <a:ext uri="{FF2B5EF4-FFF2-40B4-BE49-F238E27FC236}">
              <a16:creationId xmlns:a16="http://schemas.microsoft.com/office/drawing/2014/main" id="{00000000-0008-0000-0000-0000080C0000}"/>
            </a:ext>
          </a:extLst>
        </xdr:cNvPr>
        <xdr:cNvPicPr>
          <a:picLocks noChangeAspect="1" noChangeArrowheads="1"/>
        </xdr:cNvPicPr>
      </xdr:nvPicPr>
      <xdr:blipFill>
        <a:blip xmlns:r="http://schemas.openxmlformats.org/officeDocument/2006/relationships" r:embed="rId64" cstate="print"/>
        <a:srcRect/>
        <a:stretch>
          <a:fillRect/>
        </a:stretch>
      </xdr:blipFill>
      <xdr:spPr bwMode="auto">
        <a:xfrm>
          <a:off x="295275" y="9108394"/>
          <a:ext cx="1445498" cy="983344"/>
        </a:xfrm>
        <a:prstGeom prst="rect">
          <a:avLst/>
        </a:prstGeom>
        <a:noFill/>
        <a:ln w="1">
          <a:noFill/>
          <a:miter lim="800000"/>
          <a:headEnd/>
          <a:tailEnd type="none" w="med" len="med"/>
        </a:ln>
        <a:effectLst/>
      </xdr:spPr>
    </xdr:pic>
    <xdr:clientData/>
  </xdr:twoCellAnchor>
  <xdr:twoCellAnchor editAs="oneCell">
    <xdr:from>
      <xdr:col>1</xdr:col>
      <xdr:colOff>28576</xdr:colOff>
      <xdr:row>18</xdr:row>
      <xdr:rowOff>204787</xdr:rowOff>
    </xdr:from>
    <xdr:to>
      <xdr:col>1</xdr:col>
      <xdr:colOff>1475871</xdr:colOff>
      <xdr:row>18</xdr:row>
      <xdr:rowOff>1133321</xdr:rowOff>
    </xdr:to>
    <xdr:pic>
      <xdr:nvPicPr>
        <xdr:cNvPr id="3084" name="Picture 12">
          <a:hlinkClick xmlns:r="http://schemas.openxmlformats.org/officeDocument/2006/relationships" r:id="rId54" tooltip="Click Here for Installation Materials"/>
          <a:extLst>
            <a:ext uri="{FF2B5EF4-FFF2-40B4-BE49-F238E27FC236}">
              <a16:creationId xmlns:a16="http://schemas.microsoft.com/office/drawing/2014/main" id="{00000000-0008-0000-0000-00000C0C0000}"/>
            </a:ext>
          </a:extLst>
        </xdr:cNvPr>
        <xdr:cNvPicPr>
          <a:picLocks noChangeAspect="1" noChangeArrowheads="1"/>
        </xdr:cNvPicPr>
      </xdr:nvPicPr>
      <xdr:blipFill>
        <a:blip xmlns:r="http://schemas.openxmlformats.org/officeDocument/2006/relationships" r:embed="rId65" cstate="email"/>
        <a:srcRect/>
        <a:stretch>
          <a:fillRect/>
        </a:stretch>
      </xdr:blipFill>
      <xdr:spPr bwMode="auto">
        <a:xfrm>
          <a:off x="148319" y="11808958"/>
          <a:ext cx="1444120" cy="925359"/>
        </a:xfrm>
        <a:prstGeom prst="rect">
          <a:avLst/>
        </a:prstGeom>
        <a:noFill/>
        <a:ln w="1">
          <a:noFill/>
          <a:miter lim="800000"/>
          <a:headEnd/>
          <a:tailEnd type="none" w="med" len="med"/>
        </a:ln>
        <a:effectLst/>
      </xdr:spPr>
    </xdr:pic>
    <xdr:clientData/>
  </xdr:twoCellAnchor>
  <xdr:twoCellAnchor editAs="oneCell">
    <xdr:from>
      <xdr:col>1</xdr:col>
      <xdr:colOff>79904</xdr:colOff>
      <xdr:row>20</xdr:row>
      <xdr:rowOff>119442</xdr:rowOff>
    </xdr:from>
    <xdr:to>
      <xdr:col>1</xdr:col>
      <xdr:colOff>1455482</xdr:colOff>
      <xdr:row>20</xdr:row>
      <xdr:rowOff>1192213</xdr:rowOff>
    </xdr:to>
    <xdr:pic>
      <xdr:nvPicPr>
        <xdr:cNvPr id="3085" name="Picture 13">
          <a:hlinkClick xmlns:r="http://schemas.openxmlformats.org/officeDocument/2006/relationships" r:id="rId47" tooltip="Click Here for Installation Tools"/>
          <a:extLst>
            <a:ext uri="{FF2B5EF4-FFF2-40B4-BE49-F238E27FC236}">
              <a16:creationId xmlns:a16="http://schemas.microsoft.com/office/drawing/2014/main" id="{00000000-0008-0000-0000-00000D0C0000}"/>
            </a:ext>
          </a:extLst>
        </xdr:cNvPr>
        <xdr:cNvPicPr>
          <a:picLocks noChangeAspect="1" noChangeArrowheads="1"/>
        </xdr:cNvPicPr>
      </xdr:nvPicPr>
      <xdr:blipFill>
        <a:blip xmlns:r="http://schemas.openxmlformats.org/officeDocument/2006/relationships" r:embed="rId66" cstate="email"/>
        <a:srcRect/>
        <a:stretch>
          <a:fillRect/>
        </a:stretch>
      </xdr:blipFill>
      <xdr:spPr bwMode="auto">
        <a:xfrm>
          <a:off x="342371" y="14106375"/>
          <a:ext cx="1372403" cy="1069596"/>
        </a:xfrm>
        <a:prstGeom prst="rect">
          <a:avLst/>
        </a:prstGeom>
        <a:noFill/>
        <a:ln w="1">
          <a:noFill/>
          <a:miter lim="800000"/>
          <a:headEnd/>
          <a:tailEnd type="none" w="med" len="med"/>
        </a:ln>
        <a:effectLst/>
      </xdr:spPr>
    </xdr:pic>
    <xdr:clientData/>
  </xdr:twoCellAnchor>
  <xdr:twoCellAnchor editAs="oneCell">
    <xdr:from>
      <xdr:col>5</xdr:col>
      <xdr:colOff>10886</xdr:colOff>
      <xdr:row>22</xdr:row>
      <xdr:rowOff>272143</xdr:rowOff>
    </xdr:from>
    <xdr:to>
      <xdr:col>5</xdr:col>
      <xdr:colOff>1486246</xdr:colOff>
      <xdr:row>22</xdr:row>
      <xdr:rowOff>982515</xdr:rowOff>
    </xdr:to>
    <xdr:pic>
      <xdr:nvPicPr>
        <xdr:cNvPr id="232" name="Picture 231">
          <a:hlinkClick xmlns:r="http://schemas.openxmlformats.org/officeDocument/2006/relationships" r:id="rId5" tooltip="Click Here for Accessories"/>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67" cstate="email"/>
        <a:stretch>
          <a:fillRect/>
        </a:stretch>
      </xdr:blipFill>
      <xdr:spPr>
        <a:xfrm>
          <a:off x="3473753" y="11431210"/>
          <a:ext cx="1475360" cy="707197"/>
        </a:xfrm>
        <a:prstGeom prst="rect">
          <a:avLst/>
        </a:prstGeom>
      </xdr:spPr>
    </xdr:pic>
    <xdr:clientData/>
  </xdr:twoCellAnchor>
  <xdr:twoCellAnchor editAs="oneCell">
    <xdr:from>
      <xdr:col>11</xdr:col>
      <xdr:colOff>10886</xdr:colOff>
      <xdr:row>22</xdr:row>
      <xdr:rowOff>174172</xdr:rowOff>
    </xdr:from>
    <xdr:to>
      <xdr:col>11</xdr:col>
      <xdr:colOff>1515280</xdr:colOff>
      <xdr:row>22</xdr:row>
      <xdr:rowOff>1045029</xdr:rowOff>
    </xdr:to>
    <xdr:pic>
      <xdr:nvPicPr>
        <xdr:cNvPr id="233" name="Picture 232">
          <a:hlinkClick xmlns:r="http://schemas.openxmlformats.org/officeDocument/2006/relationships" r:id="rId5" tooltip="Click Here for Accessories"/>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68" cstate="email"/>
        <a:stretch>
          <a:fillRect/>
        </a:stretch>
      </xdr:blipFill>
      <xdr:spPr>
        <a:xfrm>
          <a:off x="8274353" y="11333239"/>
          <a:ext cx="1507569" cy="870857"/>
        </a:xfrm>
        <a:prstGeom prst="rect">
          <a:avLst/>
        </a:prstGeom>
      </xdr:spPr>
    </xdr:pic>
    <xdr:clientData/>
  </xdr:twoCellAnchor>
  <xdr:twoCellAnchor>
    <xdr:from>
      <xdr:col>9</xdr:col>
      <xdr:colOff>0</xdr:colOff>
      <xdr:row>22</xdr:row>
      <xdr:rowOff>0</xdr:rowOff>
    </xdr:from>
    <xdr:to>
      <xdr:col>9</xdr:col>
      <xdr:colOff>1516380</xdr:colOff>
      <xdr:row>23</xdr:row>
      <xdr:rowOff>0</xdr:rowOff>
    </xdr:to>
    <xdr:sp macro="" textlink="">
      <xdr:nvSpPr>
        <xdr:cNvPr id="258" name="Rounded Rectangle 257">
          <a:extLst>
            <a:ext uri="{FF2B5EF4-FFF2-40B4-BE49-F238E27FC236}">
              <a16:creationId xmlns:a16="http://schemas.microsoft.com/office/drawing/2014/main" id="{00000000-0008-0000-0000-000002010000}"/>
            </a:ext>
          </a:extLst>
        </xdr:cNvPr>
        <xdr:cNvSpPr>
          <a:spLocks noChangeAspect="1"/>
        </xdr:cNvSpPr>
      </xdr:nvSpPr>
      <xdr:spPr>
        <a:xfrm>
          <a:off x="6520543"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22</xdr:row>
      <xdr:rowOff>0</xdr:rowOff>
    </xdr:from>
    <xdr:to>
      <xdr:col>11</xdr:col>
      <xdr:colOff>1516380</xdr:colOff>
      <xdr:row>23</xdr:row>
      <xdr:rowOff>0</xdr:rowOff>
    </xdr:to>
    <xdr:sp macro="" textlink="">
      <xdr:nvSpPr>
        <xdr:cNvPr id="259" name="Rounded Rectangle 258">
          <a:extLst>
            <a:ext uri="{FF2B5EF4-FFF2-40B4-BE49-F238E27FC236}">
              <a16:creationId xmlns:a16="http://schemas.microsoft.com/office/drawing/2014/main" id="{00000000-0008-0000-0000-000003010000}"/>
            </a:ext>
          </a:extLst>
        </xdr:cNvPr>
        <xdr:cNvSpPr>
          <a:spLocks noChangeAspect="1"/>
        </xdr:cNvSpPr>
      </xdr:nvSpPr>
      <xdr:spPr>
        <a:xfrm>
          <a:off x="8120743"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22</xdr:row>
      <xdr:rowOff>0</xdr:rowOff>
    </xdr:from>
    <xdr:to>
      <xdr:col>13</xdr:col>
      <xdr:colOff>1516380</xdr:colOff>
      <xdr:row>23</xdr:row>
      <xdr:rowOff>0</xdr:rowOff>
    </xdr:to>
    <xdr:sp macro="" textlink="">
      <xdr:nvSpPr>
        <xdr:cNvPr id="260" name="Rounded Rectangle 259">
          <a:extLst>
            <a:ext uri="{FF2B5EF4-FFF2-40B4-BE49-F238E27FC236}">
              <a16:creationId xmlns:a16="http://schemas.microsoft.com/office/drawing/2014/main" id="{00000000-0008-0000-0000-000004010000}"/>
            </a:ext>
          </a:extLst>
        </xdr:cNvPr>
        <xdr:cNvSpPr>
          <a:spLocks noChangeAspect="1"/>
        </xdr:cNvSpPr>
      </xdr:nvSpPr>
      <xdr:spPr>
        <a:xfrm>
          <a:off x="9720943"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54427</xdr:colOff>
      <xdr:row>22</xdr:row>
      <xdr:rowOff>0</xdr:rowOff>
    </xdr:from>
    <xdr:to>
      <xdr:col>15</xdr:col>
      <xdr:colOff>1505493</xdr:colOff>
      <xdr:row>23</xdr:row>
      <xdr:rowOff>0</xdr:rowOff>
    </xdr:to>
    <xdr:sp macro="" textlink="">
      <xdr:nvSpPr>
        <xdr:cNvPr id="261" name="Rounded Rectangle 260">
          <a:extLst>
            <a:ext uri="{FF2B5EF4-FFF2-40B4-BE49-F238E27FC236}">
              <a16:creationId xmlns:a16="http://schemas.microsoft.com/office/drawing/2014/main" id="{00000000-0008-0000-0000-000005010000}"/>
            </a:ext>
          </a:extLst>
        </xdr:cNvPr>
        <xdr:cNvSpPr>
          <a:spLocks noChangeAspect="1"/>
        </xdr:cNvSpPr>
      </xdr:nvSpPr>
      <xdr:spPr>
        <a:xfrm>
          <a:off x="11310256"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22</xdr:row>
      <xdr:rowOff>0</xdr:rowOff>
    </xdr:from>
    <xdr:to>
      <xdr:col>7</xdr:col>
      <xdr:colOff>1508759</xdr:colOff>
      <xdr:row>23</xdr:row>
      <xdr:rowOff>0</xdr:rowOff>
    </xdr:to>
    <xdr:sp macro="" textlink="">
      <xdr:nvSpPr>
        <xdr:cNvPr id="262" name="Rounded Rectangle 261">
          <a:extLst>
            <a:ext uri="{FF2B5EF4-FFF2-40B4-BE49-F238E27FC236}">
              <a16:creationId xmlns:a16="http://schemas.microsoft.com/office/drawing/2014/main" id="{00000000-0008-0000-0000-000006010000}"/>
            </a:ext>
          </a:extLst>
        </xdr:cNvPr>
        <xdr:cNvSpPr>
          <a:spLocks noChangeAspect="1"/>
        </xdr:cNvSpPr>
      </xdr:nvSpPr>
      <xdr:spPr>
        <a:xfrm>
          <a:off x="4912722"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22</xdr:row>
      <xdr:rowOff>0</xdr:rowOff>
    </xdr:from>
    <xdr:to>
      <xdr:col>3</xdr:col>
      <xdr:colOff>1516380</xdr:colOff>
      <xdr:row>23</xdr:row>
      <xdr:rowOff>0</xdr:rowOff>
    </xdr:to>
    <xdr:sp macro="" textlink="">
      <xdr:nvSpPr>
        <xdr:cNvPr id="264" name="Rounded Rectangle 263">
          <a:extLst>
            <a:ext uri="{FF2B5EF4-FFF2-40B4-BE49-F238E27FC236}">
              <a16:creationId xmlns:a16="http://schemas.microsoft.com/office/drawing/2014/main" id="{00000000-0008-0000-0000-000008010000}"/>
            </a:ext>
          </a:extLst>
        </xdr:cNvPr>
        <xdr:cNvSpPr>
          <a:spLocks noChangeAspect="1"/>
        </xdr:cNvSpPr>
      </xdr:nvSpPr>
      <xdr:spPr>
        <a:xfrm>
          <a:off x="1719943"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22</xdr:row>
      <xdr:rowOff>0</xdr:rowOff>
    </xdr:from>
    <xdr:to>
      <xdr:col>5</xdr:col>
      <xdr:colOff>1516380</xdr:colOff>
      <xdr:row>23</xdr:row>
      <xdr:rowOff>0</xdr:rowOff>
    </xdr:to>
    <xdr:sp macro="" textlink="">
      <xdr:nvSpPr>
        <xdr:cNvPr id="265" name="Rounded Rectangle 264">
          <a:extLst>
            <a:ext uri="{FF2B5EF4-FFF2-40B4-BE49-F238E27FC236}">
              <a16:creationId xmlns:a16="http://schemas.microsoft.com/office/drawing/2014/main" id="{00000000-0008-0000-0000-000009010000}"/>
            </a:ext>
          </a:extLst>
        </xdr:cNvPr>
        <xdr:cNvSpPr>
          <a:spLocks noChangeAspect="1"/>
        </xdr:cNvSpPr>
      </xdr:nvSpPr>
      <xdr:spPr>
        <a:xfrm>
          <a:off x="3320143"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198120</xdr:colOff>
      <xdr:row>22</xdr:row>
      <xdr:rowOff>220980</xdr:rowOff>
    </xdr:from>
    <xdr:to>
      <xdr:col>3</xdr:col>
      <xdr:colOff>1359635</xdr:colOff>
      <xdr:row>22</xdr:row>
      <xdr:rowOff>943292</xdr:rowOff>
    </xdr:to>
    <xdr:pic>
      <xdr:nvPicPr>
        <xdr:cNvPr id="281" name="Picture 280">
          <a:hlinkClick xmlns:r="http://schemas.openxmlformats.org/officeDocument/2006/relationships" r:id="rId5"/>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69" cstate="print"/>
        <a:stretch>
          <a:fillRect/>
        </a:stretch>
      </xdr:blipFill>
      <xdr:spPr>
        <a:xfrm>
          <a:off x="2060787" y="11380047"/>
          <a:ext cx="1158340" cy="725487"/>
        </a:xfrm>
        <a:prstGeom prst="rect">
          <a:avLst/>
        </a:prstGeom>
      </xdr:spPr>
    </xdr:pic>
    <xdr:clientData/>
  </xdr:twoCellAnchor>
  <xdr:twoCellAnchor>
    <xdr:from>
      <xdr:col>0</xdr:col>
      <xdr:colOff>119742</xdr:colOff>
      <xdr:row>22</xdr:row>
      <xdr:rowOff>0</xdr:rowOff>
    </xdr:from>
    <xdr:to>
      <xdr:col>1</xdr:col>
      <xdr:colOff>1516379</xdr:colOff>
      <xdr:row>23</xdr:row>
      <xdr:rowOff>0</xdr:rowOff>
    </xdr:to>
    <xdr:sp macro="" textlink="">
      <xdr:nvSpPr>
        <xdr:cNvPr id="316" name="Rounded Rectangle 315">
          <a:extLst>
            <a:ext uri="{FF2B5EF4-FFF2-40B4-BE49-F238E27FC236}">
              <a16:creationId xmlns:a16="http://schemas.microsoft.com/office/drawing/2014/main" id="{00000000-0008-0000-0000-00003C010000}"/>
            </a:ext>
          </a:extLst>
        </xdr:cNvPr>
        <xdr:cNvSpPr>
          <a:spLocks noChangeAspect="1"/>
        </xdr:cNvSpPr>
      </xdr:nvSpPr>
      <xdr:spPr>
        <a:xfrm>
          <a:off x="119742"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112122</xdr:colOff>
      <xdr:row>22</xdr:row>
      <xdr:rowOff>94503</xdr:rowOff>
    </xdr:from>
    <xdr:to>
      <xdr:col>7</xdr:col>
      <xdr:colOff>1409842</xdr:colOff>
      <xdr:row>22</xdr:row>
      <xdr:rowOff>1257644</xdr:rowOff>
    </xdr:to>
    <xdr:pic>
      <xdr:nvPicPr>
        <xdr:cNvPr id="317" name="Picture 316">
          <a:hlinkClick xmlns:r="http://schemas.openxmlformats.org/officeDocument/2006/relationships" r:id="rId5" tooltip="Click Here for Accessories"/>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70" cstate="email"/>
        <a:stretch>
          <a:fillRect/>
        </a:stretch>
      </xdr:blipFill>
      <xdr:spPr>
        <a:xfrm>
          <a:off x="5032465" y="14594274"/>
          <a:ext cx="1297720" cy="1163141"/>
        </a:xfrm>
        <a:prstGeom prst="rect">
          <a:avLst/>
        </a:prstGeom>
      </xdr:spPr>
    </xdr:pic>
    <xdr:clientData/>
  </xdr:twoCellAnchor>
  <xdr:twoCellAnchor editAs="oneCell">
    <xdr:from>
      <xdr:col>9</xdr:col>
      <xdr:colOff>228600</xdr:colOff>
      <xdr:row>22</xdr:row>
      <xdr:rowOff>141513</xdr:rowOff>
    </xdr:from>
    <xdr:to>
      <xdr:col>9</xdr:col>
      <xdr:colOff>1304511</xdr:colOff>
      <xdr:row>22</xdr:row>
      <xdr:rowOff>1193291</xdr:rowOff>
    </xdr:to>
    <xdr:pic>
      <xdr:nvPicPr>
        <xdr:cNvPr id="318" name="Picture 317">
          <a:hlinkClick xmlns:r="http://schemas.openxmlformats.org/officeDocument/2006/relationships" r:id="rId5" tooltip="Click Here for Accessories"/>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71" cstate="email"/>
        <a:stretch>
          <a:fillRect/>
        </a:stretch>
      </xdr:blipFill>
      <xdr:spPr>
        <a:xfrm>
          <a:off x="6891867" y="11300580"/>
          <a:ext cx="1079086" cy="1048603"/>
        </a:xfrm>
        <a:prstGeom prst="rect">
          <a:avLst/>
        </a:prstGeom>
      </xdr:spPr>
    </xdr:pic>
    <xdr:clientData/>
  </xdr:twoCellAnchor>
  <xdr:twoCellAnchor editAs="oneCell">
    <xdr:from>
      <xdr:col>15</xdr:col>
      <xdr:colOff>65314</xdr:colOff>
      <xdr:row>22</xdr:row>
      <xdr:rowOff>87085</xdr:rowOff>
    </xdr:from>
    <xdr:to>
      <xdr:col>15</xdr:col>
      <xdr:colOff>1440208</xdr:colOff>
      <xdr:row>22</xdr:row>
      <xdr:rowOff>1193478</xdr:rowOff>
    </xdr:to>
    <xdr:pic>
      <xdr:nvPicPr>
        <xdr:cNvPr id="319" name="Picture 318">
          <a:hlinkClick xmlns:r="http://schemas.openxmlformats.org/officeDocument/2006/relationships" r:id="rId5" tooltip="Click Here for Accessories"/>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72" cstate="email"/>
        <a:stretch>
          <a:fillRect/>
        </a:stretch>
      </xdr:blipFill>
      <xdr:spPr>
        <a:xfrm>
          <a:off x="11529181" y="11246152"/>
          <a:ext cx="1371719" cy="1109568"/>
        </a:xfrm>
        <a:prstGeom prst="rect">
          <a:avLst/>
        </a:prstGeom>
      </xdr:spPr>
    </xdr:pic>
    <xdr:clientData/>
  </xdr:twoCellAnchor>
  <xdr:twoCellAnchor editAs="oneCell">
    <xdr:from>
      <xdr:col>13</xdr:col>
      <xdr:colOff>54429</xdr:colOff>
      <xdr:row>22</xdr:row>
      <xdr:rowOff>304800</xdr:rowOff>
    </xdr:from>
    <xdr:to>
      <xdr:col>13</xdr:col>
      <xdr:colOff>1435166</xdr:colOff>
      <xdr:row>22</xdr:row>
      <xdr:rowOff>1039558</xdr:rowOff>
    </xdr:to>
    <xdr:pic>
      <xdr:nvPicPr>
        <xdr:cNvPr id="320" name="Picture 319">
          <a:hlinkClick xmlns:r="http://schemas.openxmlformats.org/officeDocument/2006/relationships" r:id="rId5" tooltip="Click Here for Accessories"/>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73" cstate="email"/>
        <a:stretch>
          <a:fillRect/>
        </a:stretch>
      </xdr:blipFill>
      <xdr:spPr>
        <a:xfrm>
          <a:off x="9918096" y="11463867"/>
          <a:ext cx="1383912" cy="731583"/>
        </a:xfrm>
        <a:prstGeom prst="rect">
          <a:avLst/>
        </a:prstGeom>
      </xdr:spPr>
    </xdr:pic>
    <xdr:clientData/>
  </xdr:twoCellAnchor>
  <xdr:twoCellAnchor editAs="oneCell">
    <xdr:from>
      <xdr:col>3</xdr:col>
      <xdr:colOff>231986</xdr:colOff>
      <xdr:row>22</xdr:row>
      <xdr:rowOff>212514</xdr:rowOff>
    </xdr:from>
    <xdr:to>
      <xdr:col>3</xdr:col>
      <xdr:colOff>1390326</xdr:colOff>
      <xdr:row>22</xdr:row>
      <xdr:rowOff>941176</xdr:rowOff>
    </xdr:to>
    <xdr:pic>
      <xdr:nvPicPr>
        <xdr:cNvPr id="322" name="Picture 321">
          <a:hlinkClick xmlns:r="http://schemas.openxmlformats.org/officeDocument/2006/relationships" r:id="rId5" tooltip="Click Here for Accessories"/>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74" cstate="email"/>
        <a:stretch>
          <a:fillRect/>
        </a:stretch>
      </xdr:blipFill>
      <xdr:spPr>
        <a:xfrm>
          <a:off x="2094653" y="11371581"/>
          <a:ext cx="1158340" cy="725487"/>
        </a:xfrm>
        <a:prstGeom prst="rect">
          <a:avLst/>
        </a:prstGeom>
      </xdr:spPr>
    </xdr:pic>
    <xdr:clientData/>
  </xdr:twoCellAnchor>
  <xdr:twoCellAnchor editAs="oneCell">
    <xdr:from>
      <xdr:col>11</xdr:col>
      <xdr:colOff>238397</xdr:colOff>
      <xdr:row>12</xdr:row>
      <xdr:rowOff>188323</xdr:rowOff>
    </xdr:from>
    <xdr:to>
      <xdr:col>11</xdr:col>
      <xdr:colOff>1189060</xdr:colOff>
      <xdr:row>12</xdr:row>
      <xdr:rowOff>1207921</xdr:rowOff>
    </xdr:to>
    <xdr:pic>
      <xdr:nvPicPr>
        <xdr:cNvPr id="227" name="Picture 226" descr="Manifold PF Threaded.jpg">
          <a:hlinkClick xmlns:r="http://schemas.openxmlformats.org/officeDocument/2006/relationships" r:id="rId75" tooltip="Click Here for Quick Drops, Threaded Quick Drops, &amp; Manifolds"/>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76" cstate="email"/>
        <a:srcRect/>
        <a:stretch>
          <a:fillRect/>
        </a:stretch>
      </xdr:blipFill>
      <xdr:spPr>
        <a:xfrm>
          <a:off x="8500654" y="7155180"/>
          <a:ext cx="947488" cy="1022773"/>
        </a:xfrm>
        <a:prstGeom prst="rect">
          <a:avLst/>
        </a:prstGeom>
      </xdr:spPr>
    </xdr:pic>
    <xdr:clientData/>
  </xdr:twoCellAnchor>
  <xdr:twoCellAnchor>
    <xdr:from>
      <xdr:col>7</xdr:col>
      <xdr:colOff>76206</xdr:colOff>
      <xdr:row>1</xdr:row>
      <xdr:rowOff>308085</xdr:rowOff>
    </xdr:from>
    <xdr:to>
      <xdr:col>11</xdr:col>
      <xdr:colOff>990606</xdr:colOff>
      <xdr:row>2</xdr:row>
      <xdr:rowOff>181797</xdr:rowOff>
    </xdr:to>
    <xdr:grpSp>
      <xdr:nvGrpSpPr>
        <xdr:cNvPr id="304" name="Group 14">
          <a:extLst>
            <a:ext uri="{FF2B5EF4-FFF2-40B4-BE49-F238E27FC236}">
              <a16:creationId xmlns:a16="http://schemas.microsoft.com/office/drawing/2014/main" id="{00000000-0008-0000-0000-000030010000}"/>
            </a:ext>
          </a:extLst>
        </xdr:cNvPr>
        <xdr:cNvGrpSpPr/>
      </xdr:nvGrpSpPr>
      <xdr:grpSpPr>
        <a:xfrm>
          <a:off x="5117129" y="413837"/>
          <a:ext cx="4196862" cy="995708"/>
          <a:chOff x="4267200" y="304813"/>
          <a:chExt cx="6400800" cy="1005827"/>
        </a:xfrm>
      </xdr:grpSpPr>
      <xdr:pic>
        <xdr:nvPicPr>
          <xdr:cNvPr id="306" name="Picture 4">
            <a:extLst>
              <a:ext uri="{FF2B5EF4-FFF2-40B4-BE49-F238E27FC236}">
                <a16:creationId xmlns:a16="http://schemas.microsoft.com/office/drawing/2014/main" id="{00000000-0008-0000-0000-000032010000}"/>
              </a:ext>
            </a:extLst>
          </xdr:cNvPr>
          <xdr:cNvPicPr>
            <a:picLocks noChangeAspect="1" noChangeArrowheads="1"/>
          </xdr:cNvPicPr>
        </xdr:nvPicPr>
        <xdr:blipFill>
          <a:blip xmlns:r="http://schemas.openxmlformats.org/officeDocument/2006/relationships" r:embed="rId77" cstate="email"/>
          <a:srcRect l="573" t="5825" r="451" b="6796"/>
          <a:stretch>
            <a:fillRect/>
          </a:stretch>
        </xdr:blipFill>
        <xdr:spPr bwMode="auto">
          <a:xfrm>
            <a:off x="4267200" y="304813"/>
            <a:ext cx="6400800" cy="524657"/>
          </a:xfrm>
          <a:prstGeom prst="rect">
            <a:avLst/>
          </a:prstGeom>
          <a:noFill/>
        </xdr:spPr>
      </xdr:pic>
      <xdr:pic>
        <xdr:nvPicPr>
          <xdr:cNvPr id="307" name="Picture 306">
            <a:extLst>
              <a:ext uri="{FF2B5EF4-FFF2-40B4-BE49-F238E27FC236}">
                <a16:creationId xmlns:a16="http://schemas.microsoft.com/office/drawing/2014/main" id="{00000000-0008-0000-0000-000033010000}"/>
              </a:ext>
            </a:extLst>
          </xdr:cNvPr>
          <xdr:cNvPicPr>
            <a:picLocks noChangeAspect="1" noChangeArrowheads="1"/>
          </xdr:cNvPicPr>
        </xdr:nvPicPr>
        <xdr:blipFill>
          <a:blip xmlns:r="http://schemas.openxmlformats.org/officeDocument/2006/relationships" r:embed="rId78" cstate="email"/>
          <a:srcRect l="264" t="15955" r="39954" b="8826"/>
          <a:stretch>
            <a:fillRect/>
          </a:stretch>
        </xdr:blipFill>
        <xdr:spPr bwMode="auto">
          <a:xfrm>
            <a:off x="4312919" y="944880"/>
            <a:ext cx="5021581" cy="365760"/>
          </a:xfrm>
          <a:prstGeom prst="rect">
            <a:avLst/>
          </a:prstGeom>
          <a:noFill/>
        </xdr:spPr>
      </xdr:pic>
    </xdr:grpSp>
    <xdr:clientData/>
  </xdr:twoCellAnchor>
  <xdr:twoCellAnchor>
    <xdr:from>
      <xdr:col>0</xdr:col>
      <xdr:colOff>97712</xdr:colOff>
      <xdr:row>1</xdr:row>
      <xdr:rowOff>91448</xdr:rowOff>
    </xdr:from>
    <xdr:to>
      <xdr:col>5</xdr:col>
      <xdr:colOff>1025621</xdr:colOff>
      <xdr:row>2</xdr:row>
      <xdr:rowOff>218180</xdr:rowOff>
    </xdr:to>
    <xdr:pic>
      <xdr:nvPicPr>
        <xdr:cNvPr id="305" name="Picture 304" descr="AAP_logo.png">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79" cstate="email"/>
        <a:stretch>
          <a:fillRect/>
        </a:stretch>
      </xdr:blipFill>
      <xdr:spPr>
        <a:xfrm>
          <a:off x="97712" y="194025"/>
          <a:ext cx="4327601" cy="1255078"/>
        </a:xfrm>
        <a:prstGeom prst="rect">
          <a:avLst/>
        </a:prstGeom>
      </xdr:spPr>
    </xdr:pic>
    <xdr:clientData/>
  </xdr:twoCellAnchor>
  <xdr:twoCellAnchor>
    <xdr:from>
      <xdr:col>0</xdr:col>
      <xdr:colOff>97972</xdr:colOff>
      <xdr:row>26</xdr:row>
      <xdr:rowOff>163285</xdr:rowOff>
    </xdr:from>
    <xdr:to>
      <xdr:col>5</xdr:col>
      <xdr:colOff>1038581</xdr:colOff>
      <xdr:row>26</xdr:row>
      <xdr:rowOff>1418957</xdr:rowOff>
    </xdr:to>
    <xdr:pic>
      <xdr:nvPicPr>
        <xdr:cNvPr id="229" name="Picture 228" descr="AAP_logo.png">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79" cstate="email"/>
        <a:stretch>
          <a:fillRect/>
        </a:stretch>
      </xdr:blipFill>
      <xdr:spPr>
        <a:xfrm>
          <a:off x="97972" y="17602199"/>
          <a:ext cx="4260752" cy="1255672"/>
        </a:xfrm>
        <a:prstGeom prst="rect">
          <a:avLst/>
        </a:prstGeom>
      </xdr:spPr>
    </xdr:pic>
    <xdr:clientData/>
  </xdr:twoCellAnchor>
  <xdr:oneCellAnchor>
    <xdr:from>
      <xdr:col>14</xdr:col>
      <xdr:colOff>21395</xdr:colOff>
      <xdr:row>0</xdr:row>
      <xdr:rowOff>60410</xdr:rowOff>
    </xdr:from>
    <xdr:ext cx="1698928" cy="374141"/>
    <xdr:sp macro="" textlink="">
      <xdr:nvSpPr>
        <xdr:cNvPr id="231" name="Rectangle 230">
          <a:hlinkClick xmlns:r="http://schemas.openxmlformats.org/officeDocument/2006/relationships" r:id="rId80"/>
          <a:extLst>
            <a:ext uri="{FF2B5EF4-FFF2-40B4-BE49-F238E27FC236}">
              <a16:creationId xmlns:a16="http://schemas.microsoft.com/office/drawing/2014/main" id="{00000000-0008-0000-0000-0000E7000000}"/>
            </a:ext>
          </a:extLst>
        </xdr:cNvPr>
        <xdr:cNvSpPr/>
      </xdr:nvSpPr>
      <xdr:spPr>
        <a:xfrm>
          <a:off x="11277224" y="60410"/>
          <a:ext cx="1698928" cy="374141"/>
        </a:xfrm>
        <a:prstGeom prst="rect">
          <a:avLst/>
        </a:prstGeom>
        <a:noFill/>
      </xdr:spPr>
      <xdr:txBody>
        <a:bodyPr wrap="none" lIns="91440" tIns="45720" rIns="91440" bIns="45720">
          <a:spAutoFit/>
        </a:bodyPr>
        <a:lstStyle/>
        <a:p>
          <a:pPr algn="ctr"/>
          <a:r>
            <a:rPr lang="en-US" sz="1800" b="1" cap="none" spc="0">
              <a:ln w="10541" cmpd="sng">
                <a:solidFill>
                  <a:schemeClr val="bg1"/>
                </a:solidFill>
                <a:prstDash val="solid"/>
              </a:ln>
              <a:solidFill>
                <a:schemeClr val="bg1"/>
              </a:solidFill>
              <a:effectLst/>
            </a:rPr>
            <a:t>Bill of Materials</a:t>
          </a:r>
        </a:p>
      </xdr:txBody>
    </xdr:sp>
    <xdr:clientData/>
  </xdr:oneCellAnchor>
  <xdr:twoCellAnchor>
    <xdr:from>
      <xdr:col>13</xdr:col>
      <xdr:colOff>1230086</xdr:colOff>
      <xdr:row>0</xdr:row>
      <xdr:rowOff>54429</xdr:rowOff>
    </xdr:from>
    <xdr:to>
      <xdr:col>16</xdr:col>
      <xdr:colOff>76199</xdr:colOff>
      <xdr:row>1</xdr:row>
      <xdr:rowOff>413658</xdr:rowOff>
    </xdr:to>
    <xdr:sp macro="" textlink="">
      <xdr:nvSpPr>
        <xdr:cNvPr id="241" name="TextBox 240">
          <a:hlinkClick xmlns:r="http://schemas.openxmlformats.org/officeDocument/2006/relationships" r:id="rId81" tooltip="Go To Bill of Material Screen"/>
          <a:extLst>
            <a:ext uri="{FF2B5EF4-FFF2-40B4-BE49-F238E27FC236}">
              <a16:creationId xmlns:a16="http://schemas.microsoft.com/office/drawing/2014/main" id="{00000000-0008-0000-0000-0000F1000000}"/>
            </a:ext>
          </a:extLst>
        </xdr:cNvPr>
        <xdr:cNvSpPr txBox="1"/>
      </xdr:nvSpPr>
      <xdr:spPr>
        <a:xfrm>
          <a:off x="10951029" y="54429"/>
          <a:ext cx="1981199" cy="45720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Bill of Materials</a:t>
          </a:r>
        </a:p>
      </xdr:txBody>
    </xdr:sp>
    <xdr:clientData/>
  </xdr:twoCellAnchor>
  <xdr:twoCellAnchor>
    <xdr:from>
      <xdr:col>7</xdr:col>
      <xdr:colOff>65315</xdr:colOff>
      <xdr:row>4</xdr:row>
      <xdr:rowOff>70757</xdr:rowOff>
    </xdr:from>
    <xdr:to>
      <xdr:col>15</xdr:col>
      <xdr:colOff>1153887</xdr:colOff>
      <xdr:row>5</xdr:row>
      <xdr:rowOff>10883</xdr:rowOff>
    </xdr:to>
    <xdr:grpSp>
      <xdr:nvGrpSpPr>
        <xdr:cNvPr id="274" name="Group 273">
          <a:extLst>
            <a:ext uri="{FF2B5EF4-FFF2-40B4-BE49-F238E27FC236}">
              <a16:creationId xmlns:a16="http://schemas.microsoft.com/office/drawing/2014/main" id="{00000000-0008-0000-0000-000012010000}"/>
            </a:ext>
          </a:extLst>
        </xdr:cNvPr>
        <xdr:cNvGrpSpPr/>
      </xdr:nvGrpSpPr>
      <xdr:grpSpPr>
        <a:xfrm>
          <a:off x="5109413" y="1943274"/>
          <a:ext cx="7647145" cy="1258972"/>
          <a:chOff x="1254930" y="9245237"/>
          <a:chExt cx="4427211" cy="1257298"/>
        </a:xfrm>
      </xdr:grpSpPr>
      <xdr:sp macro="" textlink="">
        <xdr:nvSpPr>
          <xdr:cNvPr id="276" name="TextBox 275">
            <a:extLst>
              <a:ext uri="{FF2B5EF4-FFF2-40B4-BE49-F238E27FC236}">
                <a16:creationId xmlns:a16="http://schemas.microsoft.com/office/drawing/2014/main" id="{00000000-0008-0000-0000-000014010000}"/>
              </a:ext>
            </a:extLst>
          </xdr:cNvPr>
          <xdr:cNvSpPr txBox="1"/>
        </xdr:nvSpPr>
        <xdr:spPr>
          <a:xfrm>
            <a:off x="1415802" y="9245237"/>
            <a:ext cx="4266339"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1">
                <a:solidFill>
                  <a:schemeClr val="tx2"/>
                </a:solidFill>
                <a:latin typeface="Aharoni" pitchFamily="2" charset="-79"/>
                <a:cs typeface="Aharoni" pitchFamily="2" charset="-79"/>
              </a:rPr>
              <a:t>INSTRUCTIONS TO</a:t>
            </a:r>
            <a:r>
              <a:rPr lang="en-US" sz="2000" b="1" baseline="0">
                <a:solidFill>
                  <a:schemeClr val="tx2"/>
                </a:solidFill>
                <a:latin typeface="Aharoni" pitchFamily="2" charset="-79"/>
                <a:cs typeface="Aharoni" pitchFamily="2" charset="-79"/>
              </a:rPr>
              <a:t> BUILD YOUR COMPRESSED AIR SYSTEM</a:t>
            </a:r>
            <a:endParaRPr lang="en-US" sz="2000" b="1">
              <a:solidFill>
                <a:schemeClr val="tx2"/>
              </a:solidFill>
              <a:latin typeface="Aharoni" pitchFamily="2" charset="-79"/>
              <a:cs typeface="Aharoni" pitchFamily="2" charset="-79"/>
            </a:endParaRPr>
          </a:p>
          <a:p>
            <a:endParaRPr lang="en-US" sz="800" b="1">
              <a:solidFill>
                <a:schemeClr val="tx2"/>
              </a:solidFill>
            </a:endParaRPr>
          </a:p>
        </xdr:txBody>
      </xdr:sp>
      <xdr:grpSp>
        <xdr:nvGrpSpPr>
          <xdr:cNvPr id="277" name="Group 20">
            <a:extLst>
              <a:ext uri="{FF2B5EF4-FFF2-40B4-BE49-F238E27FC236}">
                <a16:creationId xmlns:a16="http://schemas.microsoft.com/office/drawing/2014/main" id="{00000000-0008-0000-0000-000015010000}"/>
              </a:ext>
            </a:extLst>
          </xdr:cNvPr>
          <xdr:cNvGrpSpPr/>
        </xdr:nvGrpSpPr>
        <xdr:grpSpPr>
          <a:xfrm>
            <a:off x="2374540" y="9586499"/>
            <a:ext cx="1885488" cy="803902"/>
            <a:chOff x="2344060" y="9076588"/>
            <a:chExt cx="1885488" cy="865903"/>
          </a:xfrm>
        </xdr:grpSpPr>
        <xdr:sp macro="" textlink="">
          <xdr:nvSpPr>
            <xdr:cNvPr id="279" name="TextBox 278">
              <a:extLst>
                <a:ext uri="{FF2B5EF4-FFF2-40B4-BE49-F238E27FC236}">
                  <a16:creationId xmlns:a16="http://schemas.microsoft.com/office/drawing/2014/main" id="{00000000-0008-0000-0000-000017010000}"/>
                </a:ext>
              </a:extLst>
            </xdr:cNvPr>
            <xdr:cNvSpPr txBox="1"/>
          </xdr:nvSpPr>
          <xdr:spPr>
            <a:xfrm>
              <a:off x="2344060" y="9090074"/>
              <a:ext cx="810860" cy="852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300" b="1">
                  <a:solidFill>
                    <a:schemeClr val="tx2"/>
                  </a:solidFill>
                </a:rPr>
                <a:t>1)  Pipe</a:t>
              </a:r>
            </a:p>
            <a:p>
              <a:r>
                <a:rPr lang="en-US" sz="1300" b="1">
                  <a:solidFill>
                    <a:schemeClr val="tx2"/>
                  </a:solidFill>
                </a:rPr>
                <a:t>2)  Fittings</a:t>
              </a:r>
            </a:p>
            <a:p>
              <a:r>
                <a:rPr lang="en-US" sz="1300" b="1">
                  <a:solidFill>
                    <a:schemeClr val="tx2"/>
                  </a:solidFill>
                </a:rPr>
                <a:t>3) Quick Drops</a:t>
              </a:r>
            </a:p>
          </xdr:txBody>
        </xdr:sp>
        <xdr:sp macro="" textlink="">
          <xdr:nvSpPr>
            <xdr:cNvPr id="289" name="TextBox 288">
              <a:extLst>
                <a:ext uri="{FF2B5EF4-FFF2-40B4-BE49-F238E27FC236}">
                  <a16:creationId xmlns:a16="http://schemas.microsoft.com/office/drawing/2014/main" id="{00000000-0008-0000-0000-000021010000}"/>
                </a:ext>
              </a:extLst>
            </xdr:cNvPr>
            <xdr:cNvSpPr txBox="1"/>
          </xdr:nvSpPr>
          <xdr:spPr>
            <a:xfrm>
              <a:off x="3105706" y="9076588"/>
              <a:ext cx="1123842" cy="784861"/>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300" b="1">
                  <a:solidFill>
                    <a:schemeClr val="tx2"/>
                  </a:solidFill>
                </a:rPr>
                <a:t>4)  Hanging</a:t>
              </a:r>
              <a:r>
                <a:rPr lang="en-US" sz="1300" b="1" baseline="0">
                  <a:solidFill>
                    <a:schemeClr val="tx2"/>
                  </a:solidFill>
                </a:rPr>
                <a:t> Material</a:t>
              </a:r>
              <a:endParaRPr lang="en-US" sz="1300" b="1">
                <a:solidFill>
                  <a:schemeClr val="tx2"/>
                </a:solidFill>
              </a:endParaRPr>
            </a:p>
            <a:p>
              <a:r>
                <a:rPr lang="en-US" sz="1300" b="1">
                  <a:solidFill>
                    <a:schemeClr val="tx2"/>
                  </a:solidFill>
                </a:rPr>
                <a:t>5)  Tools</a:t>
              </a:r>
            </a:p>
            <a:p>
              <a:r>
                <a:rPr lang="en-US" sz="1200" b="1">
                  <a:solidFill>
                    <a:schemeClr val="tx2"/>
                  </a:solidFill>
                </a:rPr>
                <a:t>6)  Accessories</a:t>
              </a:r>
            </a:p>
          </xdr:txBody>
        </xdr:sp>
      </xdr:grpSp>
      <xdr:sp macro="" textlink="">
        <xdr:nvSpPr>
          <xdr:cNvPr id="278" name="TextBox 277">
            <a:extLst>
              <a:ext uri="{FF2B5EF4-FFF2-40B4-BE49-F238E27FC236}">
                <a16:creationId xmlns:a16="http://schemas.microsoft.com/office/drawing/2014/main" id="{00000000-0008-0000-0000-000016010000}"/>
              </a:ext>
            </a:extLst>
          </xdr:cNvPr>
          <xdr:cNvSpPr txBox="1"/>
        </xdr:nvSpPr>
        <xdr:spPr>
          <a:xfrm>
            <a:off x="1254930" y="9644740"/>
            <a:ext cx="1055323" cy="857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400" b="1">
                <a:solidFill>
                  <a:schemeClr val="tx2"/>
                </a:solidFill>
                <a:latin typeface="Aharoni" pitchFamily="2" charset="-79"/>
                <a:ea typeface="+mn-ea"/>
                <a:cs typeface="Aharoni" pitchFamily="2" charset="-79"/>
              </a:rPr>
              <a:t>CLICK</a:t>
            </a:r>
            <a:r>
              <a:rPr lang="en-US" sz="1400" b="1" baseline="0">
                <a:solidFill>
                  <a:schemeClr val="tx2"/>
                </a:solidFill>
                <a:latin typeface="Aharoni" pitchFamily="2" charset="-79"/>
                <a:ea typeface="+mn-ea"/>
                <a:cs typeface="Aharoni" pitchFamily="2" charset="-79"/>
              </a:rPr>
              <a:t> ON</a:t>
            </a:r>
            <a:r>
              <a:rPr lang="en-US" sz="1400" b="1">
                <a:solidFill>
                  <a:schemeClr val="tx2"/>
                </a:solidFill>
                <a:latin typeface="Aharoni" pitchFamily="2" charset="-79"/>
                <a:ea typeface="+mn-ea"/>
                <a:cs typeface="Aharoni" pitchFamily="2" charset="-79"/>
              </a:rPr>
              <a:t> PICTURE AND</a:t>
            </a:r>
            <a:r>
              <a:rPr lang="en-US" sz="1400" b="1" baseline="0">
                <a:solidFill>
                  <a:schemeClr val="tx2"/>
                </a:solidFill>
                <a:latin typeface="Aharoni" pitchFamily="2" charset="-79"/>
                <a:ea typeface="+mn-ea"/>
                <a:cs typeface="Aharoni" pitchFamily="2" charset="-79"/>
              </a:rPr>
              <a:t> SELECT THE FOLLOWING ITEMS 	</a:t>
            </a:r>
            <a:endParaRPr lang="en-US" sz="1400" b="1">
              <a:latin typeface="+mn-lt"/>
              <a:cs typeface="Aharoni" pitchFamily="2" charset="-79"/>
            </a:endParaRPr>
          </a:p>
          <a:p>
            <a:endParaRPr lang="en-US" sz="1100"/>
          </a:p>
        </xdr:txBody>
      </xdr:sp>
    </xdr:grpSp>
    <xdr:clientData/>
  </xdr:twoCellAnchor>
  <xdr:twoCellAnchor>
    <xdr:from>
      <xdr:col>13</xdr:col>
      <xdr:colOff>1099457</xdr:colOff>
      <xdr:row>26</xdr:row>
      <xdr:rowOff>130629</xdr:rowOff>
    </xdr:from>
    <xdr:to>
      <xdr:col>15</xdr:col>
      <xdr:colOff>1480455</xdr:colOff>
      <xdr:row>26</xdr:row>
      <xdr:rowOff>587829</xdr:rowOff>
    </xdr:to>
    <xdr:sp macro="" textlink="">
      <xdr:nvSpPr>
        <xdr:cNvPr id="308" name="TextBox 307">
          <a:hlinkClick xmlns:r="http://schemas.openxmlformats.org/officeDocument/2006/relationships" r:id="rId82" tooltip="Retun to Top of Page"/>
          <a:extLst>
            <a:ext uri="{FF2B5EF4-FFF2-40B4-BE49-F238E27FC236}">
              <a16:creationId xmlns:a16="http://schemas.microsoft.com/office/drawing/2014/main" id="{00000000-0008-0000-0000-000034010000}"/>
            </a:ext>
          </a:extLst>
        </xdr:cNvPr>
        <xdr:cNvSpPr txBox="1"/>
      </xdr:nvSpPr>
      <xdr:spPr>
        <a:xfrm>
          <a:off x="10820400" y="17438915"/>
          <a:ext cx="1981198" cy="45720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3</xdr:col>
      <xdr:colOff>239486</xdr:colOff>
      <xdr:row>4</xdr:row>
      <xdr:rowOff>108858</xdr:rowOff>
    </xdr:from>
    <xdr:to>
      <xdr:col>3</xdr:col>
      <xdr:colOff>1269365</xdr:colOff>
      <xdr:row>4</xdr:row>
      <xdr:rowOff>1212578</xdr:rowOff>
    </xdr:to>
    <xdr:pic>
      <xdr:nvPicPr>
        <xdr:cNvPr id="1025" name="Picture 1">
          <a:hlinkClick xmlns:r="http://schemas.openxmlformats.org/officeDocument/2006/relationships" r:id="rId12" tooltip="Click Here to Select Pipe and Clips"/>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83" cstate="email"/>
        <a:srcRect/>
        <a:stretch>
          <a:fillRect/>
        </a:stretch>
      </xdr:blipFill>
      <xdr:spPr bwMode="auto">
        <a:xfrm>
          <a:off x="1959429" y="1970315"/>
          <a:ext cx="1033054" cy="1100545"/>
        </a:xfrm>
        <a:prstGeom prst="rect">
          <a:avLst/>
        </a:prstGeom>
        <a:noFill/>
        <a:ln w="1">
          <a:noFill/>
          <a:miter lim="800000"/>
          <a:headEnd/>
          <a:tailEnd type="none" w="med" len="med"/>
        </a:ln>
        <a:effectLst/>
      </xdr:spPr>
    </xdr:pic>
    <xdr:clientData/>
  </xdr:twoCellAnchor>
  <xdr:twoCellAnchor>
    <xdr:from>
      <xdr:col>13</xdr:col>
      <xdr:colOff>27214</xdr:colOff>
      <xdr:row>4</xdr:row>
      <xdr:rowOff>468088</xdr:rowOff>
    </xdr:from>
    <xdr:to>
      <xdr:col>16</xdr:col>
      <xdr:colOff>119741</xdr:colOff>
      <xdr:row>4</xdr:row>
      <xdr:rowOff>1306286</xdr:rowOff>
    </xdr:to>
    <xdr:sp macro="" textlink="">
      <xdr:nvSpPr>
        <xdr:cNvPr id="327" name="TextBox 326">
          <a:extLst>
            <a:ext uri="{FF2B5EF4-FFF2-40B4-BE49-F238E27FC236}">
              <a16:creationId xmlns:a16="http://schemas.microsoft.com/office/drawing/2014/main" id="{00000000-0008-0000-0000-000047010000}"/>
            </a:ext>
          </a:extLst>
        </xdr:cNvPr>
        <xdr:cNvSpPr txBox="1"/>
      </xdr:nvSpPr>
      <xdr:spPr>
        <a:xfrm>
          <a:off x="9951357" y="2345874"/>
          <a:ext cx="3294741" cy="838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solidFill>
                <a:schemeClr val="tx2"/>
              </a:solidFill>
              <a:latin typeface="Aharoni" pitchFamily="2" charset="-79"/>
              <a:cs typeface="Aharoni" pitchFamily="2" charset="-79"/>
            </a:rPr>
            <a:t>***ENTER ITEM QUANTITIES.***</a:t>
          </a:r>
          <a:r>
            <a:rPr lang="en-US" sz="1600" b="1" baseline="0">
              <a:solidFill>
                <a:schemeClr val="tx2"/>
              </a:solidFill>
              <a:latin typeface="Aharoni" pitchFamily="2" charset="-79"/>
              <a:cs typeface="Aharoni" pitchFamily="2" charset="-79"/>
            </a:rPr>
            <a:t>  </a:t>
          </a:r>
        </a:p>
        <a:p>
          <a:endParaRPr lang="en-US" sz="1600" b="1" baseline="0">
            <a:solidFill>
              <a:schemeClr val="tx2"/>
            </a:solidFill>
            <a:latin typeface="Aharoni" pitchFamily="2" charset="-79"/>
            <a:cs typeface="Aharoni" pitchFamily="2" charset="-79"/>
          </a:endParaRPr>
        </a:p>
        <a:p>
          <a:r>
            <a:rPr lang="en-US" sz="1600" b="1" baseline="0">
              <a:solidFill>
                <a:schemeClr val="tx2"/>
              </a:solidFill>
              <a:latin typeface="Aharoni" pitchFamily="2" charset="-79"/>
              <a:cs typeface="Aharoni" pitchFamily="2" charset="-79"/>
            </a:rPr>
            <a:t>***REVIEW BILL OF MATERIALS*** WITH PRICING.</a:t>
          </a:r>
          <a:endParaRPr lang="en-US" sz="1600" b="1">
            <a:solidFill>
              <a:schemeClr val="tx2"/>
            </a:solidFill>
            <a:latin typeface="Aharoni" pitchFamily="2" charset="-79"/>
            <a:cs typeface="Aharoni" pitchFamily="2" charset="-79"/>
          </a:endParaRPr>
        </a:p>
      </xdr:txBody>
    </xdr:sp>
    <xdr:clientData/>
  </xdr:twoCellAnchor>
  <xdr:twoCellAnchor>
    <xdr:from>
      <xdr:col>11</xdr:col>
      <xdr:colOff>141940</xdr:colOff>
      <xdr:row>16</xdr:row>
      <xdr:rowOff>141941</xdr:rowOff>
    </xdr:from>
    <xdr:to>
      <xdr:col>16</xdr:col>
      <xdr:colOff>7470</xdr:colOff>
      <xdr:row>16</xdr:row>
      <xdr:rowOff>1195294</xdr:rowOff>
    </xdr:to>
    <xdr:sp macro="" textlink="">
      <xdr:nvSpPr>
        <xdr:cNvPr id="335" name="TextBox 334">
          <a:extLst>
            <a:ext uri="{FF2B5EF4-FFF2-40B4-BE49-F238E27FC236}">
              <a16:creationId xmlns:a16="http://schemas.microsoft.com/office/drawing/2014/main" id="{00000000-0008-0000-0000-00004F010000}"/>
            </a:ext>
          </a:extLst>
        </xdr:cNvPr>
        <xdr:cNvSpPr txBox="1"/>
      </xdr:nvSpPr>
      <xdr:spPr>
        <a:xfrm>
          <a:off x="8449234" y="10526059"/>
          <a:ext cx="4706471" cy="1053353"/>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1">
              <a:solidFill>
                <a:schemeClr val="tx2"/>
              </a:solidFill>
              <a:latin typeface="Aharoni" pitchFamily="2" charset="-79"/>
              <a:cs typeface="Aharoni" pitchFamily="2" charset="-79"/>
            </a:rPr>
            <a:t>ADAPTOR KIT - </a:t>
          </a:r>
          <a:r>
            <a:rPr lang="en-US" sz="2000" b="1">
              <a:solidFill>
                <a:schemeClr val="tx2"/>
              </a:solidFill>
            </a:rPr>
            <a:t>Gives you the option to converting</a:t>
          </a:r>
          <a:r>
            <a:rPr lang="en-US" sz="2000" b="1" baseline="0">
              <a:solidFill>
                <a:schemeClr val="tx2"/>
              </a:solidFill>
            </a:rPr>
            <a:t> one end of an AIRnet fitting to a NPT female thread.</a:t>
          </a:r>
          <a:endParaRPr lang="en-US" sz="2000" b="1">
            <a:solidFill>
              <a:schemeClr val="tx2"/>
            </a:solidFill>
          </a:endParaRPr>
        </a:p>
      </xdr:txBody>
    </xdr:sp>
    <xdr:clientData/>
  </xdr:twoCellAnchor>
  <xdr:twoCellAnchor>
    <xdr:from>
      <xdr:col>10</xdr:col>
      <xdr:colOff>57692</xdr:colOff>
      <xdr:row>20</xdr:row>
      <xdr:rowOff>190500</xdr:rowOff>
    </xdr:from>
    <xdr:to>
      <xdr:col>16</xdr:col>
      <xdr:colOff>27267</xdr:colOff>
      <xdr:row>21</xdr:row>
      <xdr:rowOff>8030</xdr:rowOff>
    </xdr:to>
    <xdr:sp macro="" textlink="">
      <xdr:nvSpPr>
        <xdr:cNvPr id="338" name="TextBox 337">
          <a:extLst>
            <a:ext uri="{FF2B5EF4-FFF2-40B4-BE49-F238E27FC236}">
              <a16:creationId xmlns:a16="http://schemas.microsoft.com/office/drawing/2014/main" id="{00000000-0008-0000-0000-000052010000}"/>
            </a:ext>
          </a:extLst>
        </xdr:cNvPr>
        <xdr:cNvSpPr txBox="1"/>
      </xdr:nvSpPr>
      <xdr:spPr>
        <a:xfrm>
          <a:off x="8294016" y="13447059"/>
          <a:ext cx="4877751" cy="113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1">
              <a:solidFill>
                <a:schemeClr val="tx2"/>
              </a:solidFill>
              <a:latin typeface="Aharoni" panose="02010803020104030203" pitchFamily="2" charset="-79"/>
              <a:cs typeface="Aharoni" panose="02010803020104030203" pitchFamily="2" charset="-79"/>
            </a:rPr>
            <a:t>PIPE DEPTH</a:t>
          </a:r>
          <a:r>
            <a:rPr lang="en-US" sz="2000" b="1" baseline="0">
              <a:solidFill>
                <a:schemeClr val="tx2"/>
              </a:solidFill>
              <a:latin typeface="Aharoni" panose="02010803020104030203" pitchFamily="2" charset="-79"/>
              <a:cs typeface="Aharoni" panose="02010803020104030203" pitchFamily="2" charset="-79"/>
            </a:rPr>
            <a:t> GAUGE</a:t>
          </a:r>
          <a:endParaRPr lang="en-US" sz="2000" b="1">
            <a:solidFill>
              <a:schemeClr val="tx2"/>
            </a:solidFill>
            <a:latin typeface="Aharoni" panose="02010803020104030203" pitchFamily="2" charset="-79"/>
            <a:cs typeface="Aharoni" panose="02010803020104030203" pitchFamily="2" charset="-79"/>
          </a:endParaRPr>
        </a:p>
        <a:p>
          <a:r>
            <a:rPr lang="en-US" sz="1800" b="1">
              <a:solidFill>
                <a:schemeClr val="tx2"/>
              </a:solidFill>
              <a:latin typeface="+mn-lt"/>
              <a:cs typeface="Aharoni" panose="02010803020104030203" pitchFamily="2" charset="-79"/>
            </a:rPr>
            <a:t>A must for a successful installation - </a:t>
          </a:r>
          <a:r>
            <a:rPr lang="en-US" sz="1800" b="1" baseline="0">
              <a:solidFill>
                <a:schemeClr val="tx2"/>
              </a:solidFill>
              <a:latin typeface="+mn-lt"/>
              <a:cs typeface="Aharoni" panose="02010803020104030203" pitchFamily="2" charset="-79"/>
            </a:rPr>
            <a:t>this tool assures the correct pipe depth into the fitting.</a:t>
          </a:r>
          <a:endParaRPr lang="en-US" sz="1800" b="1">
            <a:solidFill>
              <a:schemeClr val="tx2"/>
            </a:solidFill>
            <a:latin typeface="Arial Black" panose="020B0A04020102020204" pitchFamily="34" charset="0"/>
            <a:cs typeface="Aharoni" panose="02010803020104030203" pitchFamily="2" charset="-79"/>
          </a:endParaRPr>
        </a:p>
      </xdr:txBody>
    </xdr:sp>
    <xdr:clientData/>
  </xdr:twoCellAnchor>
  <xdr:twoCellAnchor>
    <xdr:from>
      <xdr:col>13</xdr:col>
      <xdr:colOff>32657</xdr:colOff>
      <xdr:row>24</xdr:row>
      <xdr:rowOff>65314</xdr:rowOff>
    </xdr:from>
    <xdr:to>
      <xdr:col>15</xdr:col>
      <xdr:colOff>1480457</xdr:colOff>
      <xdr:row>24</xdr:row>
      <xdr:rowOff>1197428</xdr:rowOff>
    </xdr:to>
    <xdr:sp macro="" textlink="">
      <xdr:nvSpPr>
        <xdr:cNvPr id="339" name="TextBox 338">
          <a:extLst>
            <a:ext uri="{FF2B5EF4-FFF2-40B4-BE49-F238E27FC236}">
              <a16:creationId xmlns:a16="http://schemas.microsoft.com/office/drawing/2014/main" id="{00000000-0008-0000-0000-000053010000}"/>
            </a:ext>
          </a:extLst>
        </xdr:cNvPr>
        <xdr:cNvSpPr txBox="1"/>
      </xdr:nvSpPr>
      <xdr:spPr>
        <a:xfrm>
          <a:off x="9753600" y="15969343"/>
          <a:ext cx="3048000" cy="11321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1">
              <a:solidFill>
                <a:schemeClr val="tx2"/>
              </a:solidFill>
              <a:latin typeface="Arial Black" pitchFamily="34" charset="0"/>
              <a:cs typeface="Aharoni" pitchFamily="2" charset="-79"/>
            </a:rPr>
            <a:t>10</a:t>
          </a:r>
          <a:r>
            <a:rPr lang="en-US" sz="2000" b="1" baseline="0">
              <a:solidFill>
                <a:schemeClr val="tx2"/>
              </a:solidFill>
              <a:latin typeface="+mn-lt"/>
              <a:cs typeface="Aharoni" pitchFamily="2" charset="-79"/>
            </a:rPr>
            <a:t> </a:t>
          </a:r>
          <a:r>
            <a:rPr lang="en-US" sz="2000" b="1" baseline="0">
              <a:solidFill>
                <a:schemeClr val="tx2"/>
              </a:solidFill>
              <a:latin typeface="Aharoni" pitchFamily="2" charset="-79"/>
              <a:cs typeface="Aharoni" pitchFamily="2" charset="-79"/>
            </a:rPr>
            <a:t>YEAR WARRANTY </a:t>
          </a:r>
          <a:r>
            <a:rPr lang="en-US" sz="1800" b="1" baseline="0">
              <a:solidFill>
                <a:schemeClr val="tx2"/>
              </a:solidFill>
              <a:latin typeface="+mn-lt"/>
              <a:cs typeface="Aharoni" pitchFamily="2" charset="-79"/>
            </a:rPr>
            <a:t>Leak Free Design - Push to Connect Technology</a:t>
          </a:r>
          <a:r>
            <a:rPr lang="en-US" sz="1600" b="1" baseline="0">
              <a:solidFill>
                <a:schemeClr val="tx2"/>
              </a:solidFill>
              <a:latin typeface="+mn-lt"/>
              <a:cs typeface="Aharoni" pitchFamily="2" charset="-79"/>
            </a:rPr>
            <a:t> (PF Series) </a:t>
          </a:r>
        </a:p>
      </xdr:txBody>
    </xdr:sp>
    <xdr:clientData/>
  </xdr:twoCellAnchor>
  <xdr:twoCellAnchor editAs="oneCell">
    <xdr:from>
      <xdr:col>0</xdr:col>
      <xdr:colOff>119742</xdr:colOff>
      <xdr:row>12</xdr:row>
      <xdr:rowOff>0</xdr:rowOff>
    </xdr:from>
    <xdr:to>
      <xdr:col>2</xdr:col>
      <xdr:colOff>9238</xdr:colOff>
      <xdr:row>13</xdr:row>
      <xdr:rowOff>54429</xdr:rowOff>
    </xdr:to>
    <xdr:pic>
      <xdr:nvPicPr>
        <xdr:cNvPr id="5122" name="Picture 2">
          <a:hlinkClick xmlns:r="http://schemas.openxmlformats.org/officeDocument/2006/relationships" r:id="rId3" tooltip="Click Here for Quick Drops, Threaded Quick Drops, &amp; Manifolds"/>
          <a:extLst>
            <a:ext uri="{FF2B5EF4-FFF2-40B4-BE49-F238E27FC236}">
              <a16:creationId xmlns:a16="http://schemas.microsoft.com/office/drawing/2014/main" id="{00000000-0008-0000-0000-000002140000}"/>
            </a:ext>
          </a:extLst>
        </xdr:cNvPr>
        <xdr:cNvPicPr>
          <a:picLocks noChangeAspect="1" noChangeArrowheads="1"/>
        </xdr:cNvPicPr>
      </xdr:nvPicPr>
      <xdr:blipFill>
        <a:blip xmlns:r="http://schemas.openxmlformats.org/officeDocument/2006/relationships" r:embed="rId84" cstate="email"/>
        <a:srcRect/>
        <a:stretch>
          <a:fillRect/>
        </a:stretch>
      </xdr:blipFill>
      <xdr:spPr bwMode="auto">
        <a:xfrm>
          <a:off x="119742" y="7478486"/>
          <a:ext cx="1547300" cy="1371600"/>
        </a:xfrm>
        <a:prstGeom prst="rect">
          <a:avLst/>
        </a:prstGeom>
        <a:noFill/>
        <a:ln w="1">
          <a:noFill/>
          <a:miter lim="800000"/>
          <a:headEnd/>
          <a:tailEnd type="none" w="med" len="med"/>
        </a:ln>
        <a:effectLst/>
      </xdr:spPr>
    </xdr:pic>
    <xdr:clientData/>
  </xdr:twoCellAnchor>
  <xdr:twoCellAnchor>
    <xdr:from>
      <xdr:col>14</xdr:col>
      <xdr:colOff>54427</xdr:colOff>
      <xdr:row>17</xdr:row>
      <xdr:rowOff>76200</xdr:rowOff>
    </xdr:from>
    <xdr:to>
      <xdr:col>15</xdr:col>
      <xdr:colOff>1505493</xdr:colOff>
      <xdr:row>18</xdr:row>
      <xdr:rowOff>1306286</xdr:rowOff>
    </xdr:to>
    <xdr:grpSp>
      <xdr:nvGrpSpPr>
        <xdr:cNvPr id="325" name="Group 324">
          <a:hlinkClick xmlns:r="http://schemas.openxmlformats.org/officeDocument/2006/relationships" r:id="rId85"/>
          <a:extLst>
            <a:ext uri="{FF2B5EF4-FFF2-40B4-BE49-F238E27FC236}">
              <a16:creationId xmlns:a16="http://schemas.microsoft.com/office/drawing/2014/main" id="{00000000-0008-0000-0000-000045010000}"/>
            </a:ext>
          </a:extLst>
        </xdr:cNvPr>
        <xdr:cNvGrpSpPr/>
      </xdr:nvGrpSpPr>
      <xdr:grpSpPr>
        <a:xfrm>
          <a:off x="11587004" y="11799277"/>
          <a:ext cx="1524335" cy="1329488"/>
          <a:chOff x="6531428" y="11713028"/>
          <a:chExt cx="1516380" cy="1317172"/>
        </a:xfrm>
      </xdr:grpSpPr>
      <xdr:sp macro="" textlink="">
        <xdr:nvSpPr>
          <xdr:cNvPr id="296" name="Rounded Rectangle 295">
            <a:extLst>
              <a:ext uri="{FF2B5EF4-FFF2-40B4-BE49-F238E27FC236}">
                <a16:creationId xmlns:a16="http://schemas.microsoft.com/office/drawing/2014/main" id="{00000000-0008-0000-0000-000028010000}"/>
              </a:ext>
            </a:extLst>
          </xdr:cNvPr>
          <xdr:cNvSpPr>
            <a:spLocks noChangeAspect="1"/>
          </xdr:cNvSpPr>
        </xdr:nvSpPr>
        <xdr:spPr>
          <a:xfrm>
            <a:off x="6531428" y="11713028"/>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83" name="Group 282">
            <a:hlinkClick xmlns:r="http://schemas.openxmlformats.org/officeDocument/2006/relationships" r:id="rId54" tooltip="Click Here for Installation Materials"/>
            <a:extLst>
              <a:ext uri="{FF2B5EF4-FFF2-40B4-BE49-F238E27FC236}">
                <a16:creationId xmlns:a16="http://schemas.microsoft.com/office/drawing/2014/main" id="{00000000-0008-0000-0000-00001B010000}"/>
              </a:ext>
            </a:extLst>
          </xdr:cNvPr>
          <xdr:cNvGrpSpPr/>
        </xdr:nvGrpSpPr>
        <xdr:grpSpPr>
          <a:xfrm>
            <a:off x="6727371" y="11919858"/>
            <a:ext cx="1099458" cy="957942"/>
            <a:chOff x="11353800" y="1865624"/>
            <a:chExt cx="1404112" cy="1349144"/>
          </a:xfrm>
        </xdr:grpSpPr>
        <xdr:pic>
          <xdr:nvPicPr>
            <xdr:cNvPr id="284" name="Picture 283" descr="L_AIRNET_099.jpg">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86" cstate="email"/>
            <a:stretch>
              <a:fillRect/>
            </a:stretch>
          </xdr:blipFill>
          <xdr:spPr>
            <a:xfrm>
              <a:off x="11353800" y="1865624"/>
              <a:ext cx="1220900" cy="801375"/>
            </a:xfrm>
            <a:prstGeom prst="rect">
              <a:avLst/>
            </a:prstGeom>
          </xdr:spPr>
        </xdr:pic>
        <xdr:pic>
          <xdr:nvPicPr>
            <xdr:cNvPr id="285" name="Picture 1">
              <a:extLst>
                <a:ext uri="{FF2B5EF4-FFF2-40B4-BE49-F238E27FC236}">
                  <a16:creationId xmlns:a16="http://schemas.microsoft.com/office/drawing/2014/main" id="{00000000-0008-0000-0000-00001D010000}"/>
                </a:ext>
              </a:extLst>
            </xdr:cNvPr>
            <xdr:cNvPicPr>
              <a:picLocks noChangeAspect="1" noChangeArrowheads="1"/>
            </xdr:cNvPicPr>
          </xdr:nvPicPr>
          <xdr:blipFill>
            <a:blip xmlns:r="http://schemas.openxmlformats.org/officeDocument/2006/relationships" r:embed="rId87" cstate="email"/>
            <a:srcRect/>
            <a:stretch>
              <a:fillRect/>
            </a:stretch>
          </xdr:blipFill>
          <xdr:spPr bwMode="auto">
            <a:xfrm>
              <a:off x="11908971" y="2536187"/>
              <a:ext cx="848941" cy="678581"/>
            </a:xfrm>
            <a:prstGeom prst="rect">
              <a:avLst/>
            </a:prstGeom>
            <a:noFill/>
            <a:ln w="1">
              <a:noFill/>
              <a:miter lim="800000"/>
              <a:headEnd/>
              <a:tailEnd type="none" w="med" len="med"/>
            </a:ln>
            <a:effectLst/>
          </xdr:spPr>
        </xdr:pic>
      </xdr:grpSp>
    </xdr:grpSp>
    <xdr:clientData/>
  </xdr:twoCellAnchor>
  <xdr:twoCellAnchor>
    <xdr:from>
      <xdr:col>0</xdr:col>
      <xdr:colOff>119742</xdr:colOff>
      <xdr:row>3</xdr:row>
      <xdr:rowOff>87085</xdr:rowOff>
    </xdr:from>
    <xdr:to>
      <xdr:col>1</xdr:col>
      <xdr:colOff>1469570</xdr:colOff>
      <xdr:row>5</xdr:row>
      <xdr:rowOff>21770</xdr:rowOff>
    </xdr:to>
    <xdr:grpSp>
      <xdr:nvGrpSpPr>
        <xdr:cNvPr id="334" name="Group 333">
          <a:extLst>
            <a:ext uri="{FF2B5EF4-FFF2-40B4-BE49-F238E27FC236}">
              <a16:creationId xmlns:a16="http://schemas.microsoft.com/office/drawing/2014/main" id="{00000000-0008-0000-0000-00004E010000}"/>
            </a:ext>
          </a:extLst>
        </xdr:cNvPr>
        <xdr:cNvGrpSpPr/>
      </xdr:nvGrpSpPr>
      <xdr:grpSpPr>
        <a:xfrm>
          <a:off x="122917" y="1857025"/>
          <a:ext cx="1463884" cy="1359283"/>
          <a:chOff x="4457700" y="9768840"/>
          <a:chExt cx="1074420" cy="876300"/>
        </a:xfrm>
      </xdr:grpSpPr>
      <xdr:sp macro="" textlink="">
        <xdr:nvSpPr>
          <xdr:cNvPr id="336" name="Rounded Rectangle 335">
            <a:extLst>
              <a:ext uri="{FF2B5EF4-FFF2-40B4-BE49-F238E27FC236}">
                <a16:creationId xmlns:a16="http://schemas.microsoft.com/office/drawing/2014/main" id="{00000000-0008-0000-0000-000050010000}"/>
              </a:ext>
            </a:extLst>
          </xdr:cNvPr>
          <xdr:cNvSpPr>
            <a:spLocks noChangeAspect="1"/>
          </xdr:cNvSpPr>
        </xdr:nvSpPr>
        <xdr:spPr>
          <a:xfrm>
            <a:off x="4457700" y="9768840"/>
            <a:ext cx="1074420" cy="876300"/>
          </a:xfrm>
          <a:prstGeom prst="roundRect">
            <a:avLst/>
          </a:prstGeom>
          <a:noFill/>
          <a:ln w="15875" cap="flat" cmpd="sng" algn="ctr">
            <a:solidFill>
              <a:srgbClr val="4F5358"/>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337" name="TextBox 336">
            <a:hlinkClick xmlns:r="http://schemas.openxmlformats.org/officeDocument/2006/relationships" r:id="rId12"/>
            <a:extLst>
              <a:ext uri="{FF2B5EF4-FFF2-40B4-BE49-F238E27FC236}">
                <a16:creationId xmlns:a16="http://schemas.microsoft.com/office/drawing/2014/main" id="{00000000-0008-0000-0000-000051010000}"/>
              </a:ext>
            </a:extLst>
          </xdr:cNvPr>
          <xdr:cNvSpPr txBox="1"/>
        </xdr:nvSpPr>
        <xdr:spPr>
          <a:xfrm>
            <a:off x="4497493" y="9873537"/>
            <a:ext cx="1002793" cy="6362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a:latin typeface="Arial Black" pitchFamily="34" charset="0"/>
              </a:rPr>
              <a:t>        Pipe</a:t>
            </a:r>
            <a:r>
              <a:rPr lang="en-US" sz="1200" b="1" baseline="0">
                <a:latin typeface="Arial Black" pitchFamily="34" charset="0"/>
              </a:rPr>
              <a:t> </a:t>
            </a:r>
          </a:p>
          <a:p>
            <a:r>
              <a:rPr lang="en-US" sz="1100" b="1" baseline="0">
                <a:latin typeface="Arial Black" pitchFamily="34" charset="0"/>
              </a:rPr>
              <a:t>Compressed air, Inert Gases &amp; S bend</a:t>
            </a:r>
            <a:endParaRPr lang="en-US" sz="1100" b="1">
              <a:latin typeface="Arial Black" pitchFamily="34" charset="0"/>
            </a:endParaRPr>
          </a:p>
        </xdr:txBody>
      </xdr:sp>
    </xdr:grpSp>
    <xdr:clientData/>
  </xdr:twoCellAnchor>
  <xdr:twoCellAnchor>
    <xdr:from>
      <xdr:col>3</xdr:col>
      <xdr:colOff>0</xdr:colOff>
      <xdr:row>20</xdr:row>
      <xdr:rowOff>0</xdr:rowOff>
    </xdr:from>
    <xdr:to>
      <xdr:col>3</xdr:col>
      <xdr:colOff>1516380</xdr:colOff>
      <xdr:row>21</xdr:row>
      <xdr:rowOff>0</xdr:rowOff>
    </xdr:to>
    <xdr:grpSp>
      <xdr:nvGrpSpPr>
        <xdr:cNvPr id="341" name="Group 340">
          <a:extLst>
            <a:ext uri="{FF2B5EF4-FFF2-40B4-BE49-F238E27FC236}">
              <a16:creationId xmlns:a16="http://schemas.microsoft.com/office/drawing/2014/main" id="{00000000-0008-0000-0000-000055010000}"/>
            </a:ext>
          </a:extLst>
        </xdr:cNvPr>
        <xdr:cNvGrpSpPr/>
      </xdr:nvGrpSpPr>
      <xdr:grpSpPr>
        <a:xfrm>
          <a:off x="1758462" y="13247077"/>
          <a:ext cx="1513205" cy="1318846"/>
          <a:chOff x="1719943" y="13095514"/>
          <a:chExt cx="1516380" cy="1317172"/>
        </a:xfrm>
      </xdr:grpSpPr>
      <xdr:sp macro="" textlink="">
        <xdr:nvSpPr>
          <xdr:cNvPr id="154" name="Rounded Rectangle 153">
            <a:extLst>
              <a:ext uri="{FF2B5EF4-FFF2-40B4-BE49-F238E27FC236}">
                <a16:creationId xmlns:a16="http://schemas.microsoft.com/office/drawing/2014/main" id="{00000000-0008-0000-0000-00009A000000}"/>
              </a:ext>
            </a:extLst>
          </xdr:cNvPr>
          <xdr:cNvSpPr>
            <a:spLocks noChangeAspect="1"/>
          </xdr:cNvSpPr>
        </xdr:nvSpPr>
        <xdr:spPr>
          <a:xfrm>
            <a:off x="1719943" y="130955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40" name="Picture 339" descr="Cutter Large diam.png">
            <a:hlinkClick xmlns:r="http://schemas.openxmlformats.org/officeDocument/2006/relationships" r:id="rId47"/>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88" cstate="email"/>
          <a:stretch>
            <a:fillRect/>
          </a:stretch>
        </xdr:blipFill>
        <xdr:spPr>
          <a:xfrm rot="10800000">
            <a:off x="1828801" y="13177485"/>
            <a:ext cx="1251856" cy="1116113"/>
          </a:xfrm>
          <a:prstGeom prst="rect">
            <a:avLst/>
          </a:prstGeom>
        </xdr:spPr>
      </xdr:pic>
    </xdr:grpSp>
    <xdr:clientData/>
  </xdr:twoCellAnchor>
  <xdr:oneCellAnchor>
    <xdr:from>
      <xdr:col>14</xdr:col>
      <xdr:colOff>32655</xdr:colOff>
      <xdr:row>12</xdr:row>
      <xdr:rowOff>97971</xdr:rowOff>
    </xdr:from>
    <xdr:ext cx="1567543" cy="1121228"/>
    <xdr:sp macro="" textlink="">
      <xdr:nvSpPr>
        <xdr:cNvPr id="294" name="Rectangle 293">
          <a:hlinkClick xmlns:r="http://schemas.openxmlformats.org/officeDocument/2006/relationships" r:id="rId89"/>
          <a:extLst>
            <a:ext uri="{FF2B5EF4-FFF2-40B4-BE49-F238E27FC236}">
              <a16:creationId xmlns:a16="http://schemas.microsoft.com/office/drawing/2014/main" id="{00000000-0008-0000-0000-000026010000}"/>
            </a:ext>
          </a:extLst>
        </xdr:cNvPr>
        <xdr:cNvSpPr/>
      </xdr:nvSpPr>
      <xdr:spPr>
        <a:xfrm>
          <a:off x="11288484" y="7576457"/>
          <a:ext cx="1567543" cy="1121228"/>
        </a:xfrm>
        <a:prstGeom prst="rect">
          <a:avLst/>
        </a:prstGeom>
        <a:noFill/>
      </xdr:spPr>
      <xdr:txBody>
        <a:bodyPr wrap="square" lIns="91440" tIns="45720" rIns="91440" bIns="45720">
          <a:noAutofit/>
        </a:bodyPr>
        <a:lstStyle/>
        <a:p>
          <a:pPr algn="ctr"/>
          <a:r>
            <a:rPr lang="en-US" sz="1200" b="1" cap="none" spc="0">
              <a:ln w="1905"/>
              <a:solidFill>
                <a:schemeClr val="tx2"/>
              </a:solidFill>
              <a:effectLst>
                <a:innerShdw blurRad="69850" dist="43180" dir="5400000">
                  <a:srgbClr val="000000">
                    <a:alpha val="65000"/>
                  </a:srgbClr>
                </a:innerShdw>
              </a:effectLst>
              <a:latin typeface="Arial Black" pitchFamily="34" charset="0"/>
            </a:rPr>
            <a:t>ADVANTAGES</a:t>
          </a:r>
          <a:r>
            <a:rPr lang="en-US" sz="1200" b="1" cap="none" spc="0" baseline="0">
              <a:ln w="1905"/>
              <a:solidFill>
                <a:schemeClr val="tx2"/>
              </a:solidFill>
              <a:effectLst>
                <a:innerShdw blurRad="69850" dist="43180" dir="5400000">
                  <a:srgbClr val="000000">
                    <a:alpha val="65000"/>
                  </a:srgbClr>
                </a:innerShdw>
              </a:effectLst>
              <a:latin typeface="Arial Black" pitchFamily="34" charset="0"/>
            </a:rPr>
            <a:t> OF THE QUICK DROP FITTING</a:t>
          </a:r>
        </a:p>
        <a:p>
          <a:pPr algn="ctr"/>
          <a:r>
            <a:rPr lang="en-US" sz="16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Arial Black" pitchFamily="34" charset="0"/>
            </a:rPr>
            <a:t> </a:t>
          </a:r>
          <a:r>
            <a:rPr lang="en-US" sz="14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Arial Black" pitchFamily="34" charset="0"/>
            </a:rPr>
            <a:t>CLICK HERE</a:t>
          </a: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Arial Black" pitchFamily="34" charset="0"/>
          </a:endParaRPr>
        </a:p>
      </xdr:txBody>
    </xdr:sp>
    <xdr:clientData/>
  </xdr:oneCellAnchor>
  <xdr:twoCellAnchor>
    <xdr:from>
      <xdr:col>9</xdr:col>
      <xdr:colOff>0</xdr:colOff>
      <xdr:row>8</xdr:row>
      <xdr:rowOff>0</xdr:rowOff>
    </xdr:from>
    <xdr:to>
      <xdr:col>9</xdr:col>
      <xdr:colOff>1516380</xdr:colOff>
      <xdr:row>9</xdr:row>
      <xdr:rowOff>0</xdr:rowOff>
    </xdr:to>
    <xdr:sp macro="" textlink="">
      <xdr:nvSpPr>
        <xdr:cNvPr id="345" name="Rounded Rectangle 344">
          <a:extLst>
            <a:ext uri="{FF2B5EF4-FFF2-40B4-BE49-F238E27FC236}">
              <a16:creationId xmlns:a16="http://schemas.microsoft.com/office/drawing/2014/main" id="{00000000-0008-0000-0000-000059010000}"/>
            </a:ext>
          </a:extLst>
        </xdr:cNvPr>
        <xdr:cNvSpPr>
          <a:spLocks noChangeAspect="1"/>
        </xdr:cNvSpPr>
      </xdr:nvSpPr>
      <xdr:spPr>
        <a:xfrm>
          <a:off x="6520543"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8</xdr:row>
      <xdr:rowOff>0</xdr:rowOff>
    </xdr:from>
    <xdr:to>
      <xdr:col>13</xdr:col>
      <xdr:colOff>1516380</xdr:colOff>
      <xdr:row>9</xdr:row>
      <xdr:rowOff>0</xdr:rowOff>
    </xdr:to>
    <xdr:sp macro="" textlink="">
      <xdr:nvSpPr>
        <xdr:cNvPr id="346" name="Rounded Rectangle 345">
          <a:extLst>
            <a:ext uri="{FF2B5EF4-FFF2-40B4-BE49-F238E27FC236}">
              <a16:creationId xmlns:a16="http://schemas.microsoft.com/office/drawing/2014/main" id="{00000000-0008-0000-0000-00005A010000}"/>
            </a:ext>
          </a:extLst>
        </xdr:cNvPr>
        <xdr:cNvSpPr>
          <a:spLocks noChangeAspect="1"/>
        </xdr:cNvSpPr>
      </xdr:nvSpPr>
      <xdr:spPr>
        <a:xfrm>
          <a:off x="9720943"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8</xdr:row>
      <xdr:rowOff>0</xdr:rowOff>
    </xdr:from>
    <xdr:to>
      <xdr:col>11</xdr:col>
      <xdr:colOff>1516380</xdr:colOff>
      <xdr:row>9</xdr:row>
      <xdr:rowOff>0</xdr:rowOff>
    </xdr:to>
    <xdr:sp macro="" textlink="">
      <xdr:nvSpPr>
        <xdr:cNvPr id="347" name="Rounded Rectangle 346">
          <a:extLst>
            <a:ext uri="{FF2B5EF4-FFF2-40B4-BE49-F238E27FC236}">
              <a16:creationId xmlns:a16="http://schemas.microsoft.com/office/drawing/2014/main" id="{00000000-0008-0000-0000-00005B010000}"/>
            </a:ext>
          </a:extLst>
        </xdr:cNvPr>
        <xdr:cNvSpPr>
          <a:spLocks noChangeAspect="1"/>
        </xdr:cNvSpPr>
      </xdr:nvSpPr>
      <xdr:spPr>
        <a:xfrm>
          <a:off x="8120743"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54427</xdr:colOff>
      <xdr:row>8</xdr:row>
      <xdr:rowOff>0</xdr:rowOff>
    </xdr:from>
    <xdr:to>
      <xdr:col>15</xdr:col>
      <xdr:colOff>1505493</xdr:colOff>
      <xdr:row>9</xdr:row>
      <xdr:rowOff>0</xdr:rowOff>
    </xdr:to>
    <xdr:sp macro="" textlink="">
      <xdr:nvSpPr>
        <xdr:cNvPr id="348" name="Rounded Rectangle 347">
          <a:extLst>
            <a:ext uri="{FF2B5EF4-FFF2-40B4-BE49-F238E27FC236}">
              <a16:creationId xmlns:a16="http://schemas.microsoft.com/office/drawing/2014/main" id="{00000000-0008-0000-0000-00005C010000}"/>
            </a:ext>
          </a:extLst>
        </xdr:cNvPr>
        <xdr:cNvSpPr>
          <a:spLocks noChangeAspect="1"/>
        </xdr:cNvSpPr>
      </xdr:nvSpPr>
      <xdr:spPr>
        <a:xfrm>
          <a:off x="11310256"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10</xdr:row>
      <xdr:rowOff>0</xdr:rowOff>
    </xdr:from>
    <xdr:to>
      <xdr:col>5</xdr:col>
      <xdr:colOff>1516380</xdr:colOff>
      <xdr:row>11</xdr:row>
      <xdr:rowOff>0</xdr:rowOff>
    </xdr:to>
    <xdr:sp macro="" textlink="">
      <xdr:nvSpPr>
        <xdr:cNvPr id="349" name="Rounded Rectangle 348">
          <a:extLst>
            <a:ext uri="{FF2B5EF4-FFF2-40B4-BE49-F238E27FC236}">
              <a16:creationId xmlns:a16="http://schemas.microsoft.com/office/drawing/2014/main" id="{00000000-0008-0000-0000-00005D010000}"/>
            </a:ext>
          </a:extLst>
        </xdr:cNvPr>
        <xdr:cNvSpPr>
          <a:spLocks noChangeAspect="1"/>
        </xdr:cNvSpPr>
      </xdr:nvSpPr>
      <xdr:spPr>
        <a:xfrm>
          <a:off x="3320143"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10</xdr:row>
      <xdr:rowOff>0</xdr:rowOff>
    </xdr:from>
    <xdr:to>
      <xdr:col>3</xdr:col>
      <xdr:colOff>1516380</xdr:colOff>
      <xdr:row>11</xdr:row>
      <xdr:rowOff>0</xdr:rowOff>
    </xdr:to>
    <xdr:sp macro="" textlink="">
      <xdr:nvSpPr>
        <xdr:cNvPr id="350" name="Rounded Rectangle 349">
          <a:extLst>
            <a:ext uri="{FF2B5EF4-FFF2-40B4-BE49-F238E27FC236}">
              <a16:creationId xmlns:a16="http://schemas.microsoft.com/office/drawing/2014/main" id="{00000000-0008-0000-0000-00005E010000}"/>
            </a:ext>
          </a:extLst>
        </xdr:cNvPr>
        <xdr:cNvSpPr>
          <a:spLocks noChangeAspect="1"/>
        </xdr:cNvSpPr>
      </xdr:nvSpPr>
      <xdr:spPr>
        <a:xfrm>
          <a:off x="1719943"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10</xdr:row>
      <xdr:rowOff>0</xdr:rowOff>
    </xdr:from>
    <xdr:to>
      <xdr:col>7</xdr:col>
      <xdr:colOff>1508759</xdr:colOff>
      <xdr:row>11</xdr:row>
      <xdr:rowOff>0</xdr:rowOff>
    </xdr:to>
    <xdr:sp macro="" textlink="">
      <xdr:nvSpPr>
        <xdr:cNvPr id="351" name="Rounded Rectangle 350">
          <a:extLst>
            <a:ext uri="{FF2B5EF4-FFF2-40B4-BE49-F238E27FC236}">
              <a16:creationId xmlns:a16="http://schemas.microsoft.com/office/drawing/2014/main" id="{00000000-0008-0000-0000-00005F010000}"/>
            </a:ext>
          </a:extLst>
        </xdr:cNvPr>
        <xdr:cNvSpPr>
          <a:spLocks noChangeAspect="1"/>
        </xdr:cNvSpPr>
      </xdr:nvSpPr>
      <xdr:spPr>
        <a:xfrm>
          <a:off x="4912722"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64634</xdr:colOff>
      <xdr:row>8</xdr:row>
      <xdr:rowOff>114300</xdr:rowOff>
    </xdr:from>
    <xdr:to>
      <xdr:col>1</xdr:col>
      <xdr:colOff>1475921</xdr:colOff>
      <xdr:row>8</xdr:row>
      <xdr:rowOff>1190188</xdr:rowOff>
    </xdr:to>
    <xdr:pic>
      <xdr:nvPicPr>
        <xdr:cNvPr id="354" name="Picture 5">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62010000}"/>
            </a:ext>
          </a:extLst>
        </xdr:cNvPr>
        <xdr:cNvPicPr>
          <a:picLocks noChangeAspect="1" noChangeArrowheads="1"/>
        </xdr:cNvPicPr>
      </xdr:nvPicPr>
      <xdr:blipFill>
        <a:blip xmlns:r="http://schemas.openxmlformats.org/officeDocument/2006/relationships" r:embed="rId61" cstate="email"/>
        <a:srcRect/>
        <a:stretch>
          <a:fillRect/>
        </a:stretch>
      </xdr:blipFill>
      <xdr:spPr bwMode="auto">
        <a:xfrm>
          <a:off x="184377" y="4784271"/>
          <a:ext cx="1414462" cy="1072713"/>
        </a:xfrm>
        <a:prstGeom prst="rect">
          <a:avLst/>
        </a:prstGeom>
        <a:noFill/>
        <a:ln w="1">
          <a:noFill/>
          <a:miter lim="800000"/>
          <a:headEnd/>
          <a:tailEnd type="none" w="med" len="med"/>
        </a:ln>
        <a:effectLst/>
      </xdr:spPr>
    </xdr:pic>
    <xdr:clientData/>
  </xdr:twoCellAnchor>
  <xdr:twoCellAnchor editAs="oneCell">
    <xdr:from>
      <xdr:col>1</xdr:col>
      <xdr:colOff>65315</xdr:colOff>
      <xdr:row>10</xdr:row>
      <xdr:rowOff>112261</xdr:rowOff>
    </xdr:from>
    <xdr:to>
      <xdr:col>1</xdr:col>
      <xdr:colOff>1440089</xdr:colOff>
      <xdr:row>10</xdr:row>
      <xdr:rowOff>1231853</xdr:rowOff>
    </xdr:to>
    <xdr:pic>
      <xdr:nvPicPr>
        <xdr:cNvPr id="355" name="Picture 6">
          <a:hlinkClick xmlns:r="http://schemas.openxmlformats.org/officeDocument/2006/relationships" r:id="rId1" tooltip="Click Here for Reducing Fittings"/>
          <a:extLst>
            <a:ext uri="{FF2B5EF4-FFF2-40B4-BE49-F238E27FC236}">
              <a16:creationId xmlns:a16="http://schemas.microsoft.com/office/drawing/2014/main" id="{00000000-0008-0000-0000-000063010000}"/>
            </a:ext>
          </a:extLst>
        </xdr:cNvPr>
        <xdr:cNvPicPr>
          <a:picLocks noChangeAspect="1" noChangeArrowheads="1"/>
        </xdr:cNvPicPr>
      </xdr:nvPicPr>
      <xdr:blipFill>
        <a:blip xmlns:r="http://schemas.openxmlformats.org/officeDocument/2006/relationships" r:embed="rId63" cstate="email"/>
        <a:srcRect/>
        <a:stretch>
          <a:fillRect/>
        </a:stretch>
      </xdr:blipFill>
      <xdr:spPr bwMode="auto">
        <a:xfrm>
          <a:off x="185058" y="6186490"/>
          <a:ext cx="1371599" cy="1116417"/>
        </a:xfrm>
        <a:prstGeom prst="rect">
          <a:avLst/>
        </a:prstGeom>
        <a:noFill/>
        <a:ln w="1">
          <a:noFill/>
          <a:miter lim="800000"/>
          <a:headEnd/>
          <a:tailEnd type="none" w="med" len="med"/>
        </a:ln>
        <a:effectLst/>
      </xdr:spPr>
    </xdr:pic>
    <xdr:clientData/>
  </xdr:twoCellAnchor>
  <xdr:twoCellAnchor editAs="oneCell">
    <xdr:from>
      <xdr:col>5</xdr:col>
      <xdr:colOff>421214</xdr:colOff>
      <xdr:row>24</xdr:row>
      <xdr:rowOff>56030</xdr:rowOff>
    </xdr:from>
    <xdr:to>
      <xdr:col>11</xdr:col>
      <xdr:colOff>496233</xdr:colOff>
      <xdr:row>24</xdr:row>
      <xdr:rowOff>982943</xdr:rowOff>
    </xdr:to>
    <xdr:pic>
      <xdr:nvPicPr>
        <xdr:cNvPr id="5" name="Picture 4">
          <a:hlinkClick xmlns:r="http://schemas.openxmlformats.org/officeDocument/2006/relationships" r:id="rId90"/>
          <a:extLst>
            <a:ext uri="{FF2B5EF4-FFF2-40B4-BE49-F238E27FC236}">
              <a16:creationId xmlns:a16="http://schemas.microsoft.com/office/drawing/2014/main" id="{27F229C0-4AA7-45A3-8CB3-233A1EC0BFAA}"/>
            </a:ext>
          </a:extLst>
        </xdr:cNvPr>
        <xdr:cNvPicPr>
          <a:picLocks noChangeAspect="1"/>
        </xdr:cNvPicPr>
      </xdr:nvPicPr>
      <xdr:blipFill>
        <a:blip xmlns:r="http://schemas.openxmlformats.org/officeDocument/2006/relationships" r:embed="rId91"/>
        <a:stretch>
          <a:fillRect/>
        </a:stretch>
      </xdr:blipFill>
      <xdr:spPr>
        <a:xfrm>
          <a:off x="3816596" y="16158883"/>
          <a:ext cx="4983196" cy="930088"/>
        </a:xfrm>
        <a:prstGeom prst="rect">
          <a:avLst/>
        </a:prstGeom>
        <a:solidFill>
          <a:schemeClr val="accent1">
            <a:lumMod val="40000"/>
            <a:lumOff val="60000"/>
          </a:schemeClr>
        </a:solidFill>
      </xdr:spPr>
    </xdr:pic>
    <xdr:clientData/>
  </xdr:twoCellAnchor>
  <xdr:twoCellAnchor editAs="oneCell">
    <xdr:from>
      <xdr:col>13</xdr:col>
      <xdr:colOff>268942</xdr:colOff>
      <xdr:row>12</xdr:row>
      <xdr:rowOff>63514</xdr:rowOff>
    </xdr:from>
    <xdr:to>
      <xdr:col>13</xdr:col>
      <xdr:colOff>1164638</xdr:colOff>
      <xdr:row>12</xdr:row>
      <xdr:rowOff>1207060</xdr:rowOff>
    </xdr:to>
    <xdr:pic>
      <xdr:nvPicPr>
        <xdr:cNvPr id="3" name="Picture 2">
          <a:hlinkClick xmlns:r="http://schemas.openxmlformats.org/officeDocument/2006/relationships" r:id="rId3"/>
          <a:extLst>
            <a:ext uri="{FF2B5EF4-FFF2-40B4-BE49-F238E27FC236}">
              <a16:creationId xmlns:a16="http://schemas.microsoft.com/office/drawing/2014/main" id="{4AA58340-04A0-48C2-BB4E-ADA4E72DF149}"/>
            </a:ext>
          </a:extLst>
        </xdr:cNvPr>
        <xdr:cNvPicPr>
          <a:picLocks noChangeAspect="1"/>
        </xdr:cNvPicPr>
      </xdr:nvPicPr>
      <xdr:blipFill>
        <a:blip xmlns:r="http://schemas.openxmlformats.org/officeDocument/2006/relationships" r:embed="rId92"/>
        <a:stretch>
          <a:fillRect/>
        </a:stretch>
      </xdr:blipFill>
      <xdr:spPr>
        <a:xfrm>
          <a:off x="10212295" y="7608808"/>
          <a:ext cx="895696" cy="1146721"/>
        </a:xfrm>
        <a:prstGeom prst="rect">
          <a:avLst/>
        </a:prstGeom>
      </xdr:spPr>
    </xdr:pic>
    <xdr:clientData/>
  </xdr:twoCellAnchor>
  <xdr:twoCellAnchor>
    <xdr:from>
      <xdr:col>5</xdr:col>
      <xdr:colOff>414338</xdr:colOff>
      <xdr:row>24</xdr:row>
      <xdr:rowOff>970055</xdr:rowOff>
    </xdr:from>
    <xdr:to>
      <xdr:col>11</xdr:col>
      <xdr:colOff>493058</xdr:colOff>
      <xdr:row>24</xdr:row>
      <xdr:rowOff>1268775</xdr:rowOff>
    </xdr:to>
    <xdr:sp macro="" textlink="">
      <xdr:nvSpPr>
        <xdr:cNvPr id="4" name="TextBox 3">
          <a:hlinkClick xmlns:r="http://schemas.openxmlformats.org/officeDocument/2006/relationships" r:id="rId90"/>
          <a:extLst>
            <a:ext uri="{FF2B5EF4-FFF2-40B4-BE49-F238E27FC236}">
              <a16:creationId xmlns:a16="http://schemas.microsoft.com/office/drawing/2014/main" id="{6C1CED96-38ED-4A44-BC6E-F63E60016B01}"/>
            </a:ext>
          </a:extLst>
        </xdr:cNvPr>
        <xdr:cNvSpPr txBox="1"/>
      </xdr:nvSpPr>
      <xdr:spPr>
        <a:xfrm>
          <a:off x="3814763" y="17029205"/>
          <a:ext cx="4993620" cy="29872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tx2"/>
              </a:solidFill>
              <a:latin typeface="Arial Black" panose="020B0A04020102020204" pitchFamily="34" charset="0"/>
            </a:rPr>
            <a:t>Click Here for Details</a:t>
          </a:r>
        </a:p>
      </xdr:txBody>
    </xdr:sp>
    <xdr:clientData/>
  </xdr:twoCellAnchor>
  <xdr:twoCellAnchor editAs="oneCell">
    <xdr:from>
      <xdr:col>15</xdr:col>
      <xdr:colOff>52580</xdr:colOff>
      <xdr:row>22</xdr:row>
      <xdr:rowOff>443559</xdr:rowOff>
    </xdr:from>
    <xdr:to>
      <xdr:col>15</xdr:col>
      <xdr:colOff>1427715</xdr:colOff>
      <xdr:row>22</xdr:row>
      <xdr:rowOff>902856</xdr:rowOff>
    </xdr:to>
    <xdr:pic>
      <xdr:nvPicPr>
        <xdr:cNvPr id="200" name="Picture 199">
          <a:extLst>
            <a:ext uri="{FF2B5EF4-FFF2-40B4-BE49-F238E27FC236}">
              <a16:creationId xmlns:a16="http://schemas.microsoft.com/office/drawing/2014/main" id="{8F321EA6-51FB-4525-AABE-B9AC6A6AA5AE}"/>
            </a:ext>
          </a:extLst>
        </xdr:cNvPr>
        <xdr:cNvPicPr>
          <a:picLocks noChangeAspect="1"/>
        </xdr:cNvPicPr>
      </xdr:nvPicPr>
      <xdr:blipFill>
        <a:blip xmlns:r="http://schemas.openxmlformats.org/officeDocument/2006/relationships" r:embed="rId93"/>
        <a:stretch>
          <a:fillRect/>
        </a:stretch>
      </xdr:blipFill>
      <xdr:spPr>
        <a:xfrm rot="20116023">
          <a:off x="11658426" y="15112059"/>
          <a:ext cx="1375135" cy="459297"/>
        </a:xfrm>
        <a:prstGeom prst="rect">
          <a:avLst/>
        </a:prstGeom>
      </xdr:spPr>
    </xdr:pic>
    <xdr:clientData/>
  </xdr:twoCellAnchor>
  <xdr:twoCellAnchor>
    <xdr:from>
      <xdr:col>15</xdr:col>
      <xdr:colOff>231288</xdr:colOff>
      <xdr:row>1</xdr:row>
      <xdr:rowOff>1055077</xdr:rowOff>
    </xdr:from>
    <xdr:to>
      <xdr:col>16</xdr:col>
      <xdr:colOff>50556</xdr:colOff>
      <xdr:row>2</xdr:row>
      <xdr:rowOff>483577</xdr:rowOff>
    </xdr:to>
    <xdr:sp macro="" textlink="">
      <xdr:nvSpPr>
        <xdr:cNvPr id="2" name="TextBox 1">
          <a:extLst>
            <a:ext uri="{FF2B5EF4-FFF2-40B4-BE49-F238E27FC236}">
              <a16:creationId xmlns:a16="http://schemas.microsoft.com/office/drawing/2014/main" id="{F3FC7069-72F2-0BA6-FB36-572F60AB426D}"/>
            </a:ext>
          </a:extLst>
        </xdr:cNvPr>
        <xdr:cNvSpPr txBox="1"/>
      </xdr:nvSpPr>
      <xdr:spPr>
        <a:xfrm>
          <a:off x="11837134" y="1157654"/>
          <a:ext cx="1387230" cy="556846"/>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tx2"/>
              </a:solidFill>
            </a:rPr>
            <a:t>2023 Rev 1</a:t>
          </a:r>
        </a:p>
        <a:p>
          <a:r>
            <a:rPr lang="en-US" sz="1400">
              <a:solidFill>
                <a:schemeClr val="tx2"/>
              </a:solidFill>
            </a:rPr>
            <a:t>Jan 2023</a:t>
          </a:r>
        </a:p>
        <a:p>
          <a:endParaRPr lang="en-US" sz="1400">
            <a:solidFill>
              <a:schemeClr val="tx2"/>
            </a:solidFill>
          </a:endParaRPr>
        </a:p>
      </xdr:txBody>
    </xdr:sp>
    <xdr:clientData/>
  </xdr:twoCellAnchor>
  <xdr:twoCellAnchor editAs="oneCell">
    <xdr:from>
      <xdr:col>11</xdr:col>
      <xdr:colOff>263769</xdr:colOff>
      <xdr:row>6</xdr:row>
      <xdr:rowOff>293077</xdr:rowOff>
    </xdr:from>
    <xdr:to>
      <xdr:col>11</xdr:col>
      <xdr:colOff>1387719</xdr:colOff>
      <xdr:row>6</xdr:row>
      <xdr:rowOff>1028547</xdr:rowOff>
    </xdr:to>
    <xdr:pic>
      <xdr:nvPicPr>
        <xdr:cNvPr id="8" name="Picture 7">
          <a:hlinkClick xmlns:r="http://schemas.openxmlformats.org/officeDocument/2006/relationships" r:id="rId16"/>
          <a:extLst>
            <a:ext uri="{FF2B5EF4-FFF2-40B4-BE49-F238E27FC236}">
              <a16:creationId xmlns:a16="http://schemas.microsoft.com/office/drawing/2014/main" id="{5A04C48B-052D-4FEA-B621-D6C07162D432}"/>
            </a:ext>
          </a:extLst>
        </xdr:cNvPr>
        <xdr:cNvPicPr>
          <a:picLocks noChangeAspect="1"/>
        </xdr:cNvPicPr>
      </xdr:nvPicPr>
      <xdr:blipFill rotWithShape="1">
        <a:blip xmlns:r="http://schemas.openxmlformats.org/officeDocument/2006/relationships" r:embed="rId94" cstate="print">
          <a:extLst>
            <a:ext uri="{28A0092B-C50C-407E-A947-70E740481C1C}">
              <a14:useLocalDpi xmlns:a14="http://schemas.microsoft.com/office/drawing/2010/main" val="0"/>
            </a:ext>
          </a:extLst>
        </a:blip>
        <a:srcRect l="13119" t="24516" r="10753" b="23226"/>
        <a:stretch/>
      </xdr:blipFill>
      <xdr:spPr>
        <a:xfrm>
          <a:off x="8587154" y="3590192"/>
          <a:ext cx="1123950" cy="735470"/>
        </a:xfrm>
        <a:prstGeom prst="rect">
          <a:avLst/>
        </a:prstGeom>
      </xdr:spPr>
    </xdr:pic>
    <xdr:clientData/>
  </xdr:twoCellAnchor>
  <xdr:twoCellAnchor editAs="oneCell">
    <xdr:from>
      <xdr:col>5</xdr:col>
      <xdr:colOff>81574</xdr:colOff>
      <xdr:row>6</xdr:row>
      <xdr:rowOff>208331</xdr:rowOff>
    </xdr:from>
    <xdr:to>
      <xdr:col>5</xdr:col>
      <xdr:colOff>1486325</xdr:colOff>
      <xdr:row>6</xdr:row>
      <xdr:rowOff>1155854</xdr:rowOff>
    </xdr:to>
    <xdr:pic>
      <xdr:nvPicPr>
        <xdr:cNvPr id="10" name="Picture 9">
          <a:hlinkClick xmlns:r="http://schemas.openxmlformats.org/officeDocument/2006/relationships" r:id="rId16"/>
          <a:extLst>
            <a:ext uri="{FF2B5EF4-FFF2-40B4-BE49-F238E27FC236}">
              <a16:creationId xmlns:a16="http://schemas.microsoft.com/office/drawing/2014/main" id="{31851C7F-B459-4459-AED5-E20D9E8F8B3E}"/>
            </a:ext>
          </a:extLst>
        </xdr:cNvPr>
        <xdr:cNvPicPr>
          <a:picLocks noChangeAspect="1"/>
        </xdr:cNvPicPr>
      </xdr:nvPicPr>
      <xdr:blipFill>
        <a:blip xmlns:r="http://schemas.openxmlformats.org/officeDocument/2006/relationships" r:embed="rId95"/>
        <a:stretch>
          <a:fillRect/>
        </a:stretch>
      </xdr:blipFill>
      <xdr:spPr>
        <a:xfrm>
          <a:off x="3481266" y="3505446"/>
          <a:ext cx="1404751" cy="947523"/>
        </a:xfrm>
        <a:prstGeom prst="rect">
          <a:avLst/>
        </a:prstGeom>
      </xdr:spPr>
    </xdr:pic>
    <xdr:clientData/>
  </xdr:twoCellAnchor>
  <xdr:twoCellAnchor editAs="oneCell">
    <xdr:from>
      <xdr:col>3</xdr:col>
      <xdr:colOff>82793</xdr:colOff>
      <xdr:row>8</xdr:row>
      <xdr:rowOff>296251</xdr:rowOff>
    </xdr:from>
    <xdr:to>
      <xdr:col>3</xdr:col>
      <xdr:colOff>1437338</xdr:colOff>
      <xdr:row>8</xdr:row>
      <xdr:rowOff>1011116</xdr:rowOff>
    </xdr:to>
    <xdr:pic>
      <xdr:nvPicPr>
        <xdr:cNvPr id="11" name="Picture 10">
          <a:hlinkClick xmlns:r="http://schemas.openxmlformats.org/officeDocument/2006/relationships" r:id="rId16"/>
          <a:extLst>
            <a:ext uri="{FF2B5EF4-FFF2-40B4-BE49-F238E27FC236}">
              <a16:creationId xmlns:a16="http://schemas.microsoft.com/office/drawing/2014/main" id="{25AD609B-DC82-40CA-81F0-C91C05C44443}"/>
            </a:ext>
          </a:extLst>
        </xdr:cNvPr>
        <xdr:cNvPicPr>
          <a:picLocks noChangeAspect="1"/>
        </xdr:cNvPicPr>
      </xdr:nvPicPr>
      <xdr:blipFill rotWithShape="1">
        <a:blip xmlns:r="http://schemas.openxmlformats.org/officeDocument/2006/relationships" r:embed="rId96" cstate="print">
          <a:extLst>
            <a:ext uri="{28A0092B-C50C-407E-A947-70E740481C1C}">
              <a14:useLocalDpi xmlns:a14="http://schemas.microsoft.com/office/drawing/2010/main" val="0"/>
            </a:ext>
          </a:extLst>
        </a:blip>
        <a:srcRect l="9143" t="27000" r="9571" b="28857"/>
        <a:stretch/>
      </xdr:blipFill>
      <xdr:spPr>
        <a:xfrm>
          <a:off x="1841255" y="5014789"/>
          <a:ext cx="1354545" cy="714865"/>
        </a:xfrm>
        <a:prstGeom prst="rect">
          <a:avLst/>
        </a:prstGeom>
      </xdr:spPr>
    </xdr:pic>
    <xdr:clientData/>
  </xdr:twoCellAnchor>
  <xdr:twoCellAnchor editAs="oneCell">
    <xdr:from>
      <xdr:col>9</xdr:col>
      <xdr:colOff>131885</xdr:colOff>
      <xdr:row>8</xdr:row>
      <xdr:rowOff>264532</xdr:rowOff>
    </xdr:from>
    <xdr:to>
      <xdr:col>9</xdr:col>
      <xdr:colOff>1406769</xdr:colOff>
      <xdr:row>8</xdr:row>
      <xdr:rowOff>1003004</xdr:rowOff>
    </xdr:to>
    <xdr:pic>
      <xdr:nvPicPr>
        <xdr:cNvPr id="12" name="Picture 11">
          <a:hlinkClick xmlns:r="http://schemas.openxmlformats.org/officeDocument/2006/relationships" r:id="rId16"/>
          <a:extLst>
            <a:ext uri="{FF2B5EF4-FFF2-40B4-BE49-F238E27FC236}">
              <a16:creationId xmlns:a16="http://schemas.microsoft.com/office/drawing/2014/main" id="{E233D8B9-68B1-4BB8-9732-6A37F6D6D8B2}"/>
            </a:ext>
          </a:extLst>
        </xdr:cNvPr>
        <xdr:cNvPicPr>
          <a:picLocks noChangeAspect="1"/>
        </xdr:cNvPicPr>
      </xdr:nvPicPr>
      <xdr:blipFill rotWithShape="1">
        <a:blip xmlns:r="http://schemas.openxmlformats.org/officeDocument/2006/relationships" r:embed="rId97" cstate="print">
          <a:extLst>
            <a:ext uri="{28A0092B-C50C-407E-A947-70E740481C1C}">
              <a14:useLocalDpi xmlns:a14="http://schemas.microsoft.com/office/drawing/2010/main" val="0"/>
            </a:ext>
          </a:extLst>
        </a:blip>
        <a:srcRect l="14000" t="27286" r="12857" b="28571"/>
        <a:stretch/>
      </xdr:blipFill>
      <xdr:spPr>
        <a:xfrm>
          <a:off x="6814039" y="4983070"/>
          <a:ext cx="1274884" cy="738472"/>
        </a:xfrm>
        <a:prstGeom prst="rect">
          <a:avLst/>
        </a:prstGeom>
      </xdr:spPr>
    </xdr:pic>
    <xdr:clientData/>
  </xdr:twoCellAnchor>
  <xdr:twoCellAnchor editAs="oneCell">
    <xdr:from>
      <xdr:col>7</xdr:col>
      <xdr:colOff>14654</xdr:colOff>
      <xdr:row>10</xdr:row>
      <xdr:rowOff>175846</xdr:rowOff>
    </xdr:from>
    <xdr:to>
      <xdr:col>7</xdr:col>
      <xdr:colOff>1415648</xdr:colOff>
      <xdr:row>10</xdr:row>
      <xdr:rowOff>1045391</xdr:rowOff>
    </xdr:to>
    <xdr:pic>
      <xdr:nvPicPr>
        <xdr:cNvPr id="16" name="Picture 15">
          <a:hlinkClick xmlns:r="http://schemas.openxmlformats.org/officeDocument/2006/relationships" r:id="rId1"/>
          <a:extLst>
            <a:ext uri="{FF2B5EF4-FFF2-40B4-BE49-F238E27FC236}">
              <a16:creationId xmlns:a16="http://schemas.microsoft.com/office/drawing/2014/main" id="{C18D7465-288C-4D5B-A8B6-F0F16B241A7A}"/>
            </a:ext>
          </a:extLst>
        </xdr:cNvPr>
        <xdr:cNvPicPr>
          <a:picLocks noChangeAspect="1"/>
        </xdr:cNvPicPr>
      </xdr:nvPicPr>
      <xdr:blipFill rotWithShape="1">
        <a:blip xmlns:r="http://schemas.openxmlformats.org/officeDocument/2006/relationships" r:embed="rId98" cstate="print">
          <a:extLst>
            <a:ext uri="{28A0092B-C50C-407E-A947-70E740481C1C}">
              <a14:useLocalDpi xmlns:a14="http://schemas.microsoft.com/office/drawing/2010/main" val="0"/>
            </a:ext>
          </a:extLst>
        </a:blip>
        <a:srcRect l="12429" t="26428" r="13714" b="24857"/>
        <a:stretch/>
      </xdr:blipFill>
      <xdr:spPr>
        <a:xfrm>
          <a:off x="5055577" y="6315808"/>
          <a:ext cx="1400994" cy="869545"/>
        </a:xfrm>
        <a:prstGeom prst="rect">
          <a:avLst/>
        </a:prstGeom>
      </xdr:spPr>
    </xdr:pic>
    <xdr:clientData/>
  </xdr:twoCellAnchor>
  <xdr:twoCellAnchor editAs="oneCell">
    <xdr:from>
      <xdr:col>15</xdr:col>
      <xdr:colOff>131885</xdr:colOff>
      <xdr:row>10</xdr:row>
      <xdr:rowOff>219808</xdr:rowOff>
    </xdr:from>
    <xdr:to>
      <xdr:col>15</xdr:col>
      <xdr:colOff>1358674</xdr:colOff>
      <xdr:row>10</xdr:row>
      <xdr:rowOff>991333</xdr:rowOff>
    </xdr:to>
    <xdr:pic>
      <xdr:nvPicPr>
        <xdr:cNvPr id="17" name="Picture 16">
          <a:hlinkClick xmlns:r="http://schemas.openxmlformats.org/officeDocument/2006/relationships" r:id="rId1"/>
          <a:extLst>
            <a:ext uri="{FF2B5EF4-FFF2-40B4-BE49-F238E27FC236}">
              <a16:creationId xmlns:a16="http://schemas.microsoft.com/office/drawing/2014/main" id="{30C946C0-D7EB-44AD-89E6-57ADEE8E7BA4}"/>
            </a:ext>
          </a:extLst>
        </xdr:cNvPr>
        <xdr:cNvPicPr>
          <a:picLocks noChangeAspect="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l="13000" t="25000" r="9858" b="22285"/>
        <a:stretch/>
      </xdr:blipFill>
      <xdr:spPr>
        <a:xfrm>
          <a:off x="11737731" y="6359770"/>
          <a:ext cx="1226789" cy="771525"/>
        </a:xfrm>
        <a:prstGeom prst="rect">
          <a:avLst/>
        </a:prstGeom>
      </xdr:spPr>
    </xdr:pic>
    <xdr:clientData/>
  </xdr:twoCellAnchor>
  <xdr:twoCellAnchor editAs="oneCell">
    <xdr:from>
      <xdr:col>9</xdr:col>
      <xdr:colOff>205154</xdr:colOff>
      <xdr:row>16</xdr:row>
      <xdr:rowOff>234462</xdr:rowOff>
    </xdr:from>
    <xdr:to>
      <xdr:col>9</xdr:col>
      <xdr:colOff>1424354</xdr:colOff>
      <xdr:row>16</xdr:row>
      <xdr:rowOff>1079309</xdr:rowOff>
    </xdr:to>
    <xdr:pic>
      <xdr:nvPicPr>
        <xdr:cNvPr id="18" name="Picture 17">
          <a:hlinkClick xmlns:r="http://schemas.openxmlformats.org/officeDocument/2006/relationships" r:id="rId7"/>
          <a:extLst>
            <a:ext uri="{FF2B5EF4-FFF2-40B4-BE49-F238E27FC236}">
              <a16:creationId xmlns:a16="http://schemas.microsoft.com/office/drawing/2014/main" id="{A69930A0-9152-45F9-8C42-679B53FCC9E1}"/>
            </a:ext>
          </a:extLst>
        </xdr:cNvPr>
        <xdr:cNvPicPr>
          <a:picLocks noChangeAspect="1"/>
        </xdr:cNvPicPr>
      </xdr:nvPicPr>
      <xdr:blipFill rotWithShape="1">
        <a:blip xmlns:r="http://schemas.openxmlformats.org/officeDocument/2006/relationships" r:embed="rId100" cstate="print">
          <a:extLst>
            <a:ext uri="{28A0092B-C50C-407E-A947-70E740481C1C}">
              <a14:useLocalDpi xmlns:a14="http://schemas.microsoft.com/office/drawing/2010/main" val="0"/>
            </a:ext>
          </a:extLst>
        </a:blip>
        <a:srcRect l="17285" t="25857" r="17000" b="25429"/>
        <a:stretch/>
      </xdr:blipFill>
      <xdr:spPr>
        <a:xfrm>
          <a:off x="6887308" y="10638693"/>
          <a:ext cx="1219200" cy="844847"/>
        </a:xfrm>
        <a:prstGeom prst="rect">
          <a:avLst/>
        </a:prstGeom>
      </xdr:spPr>
    </xdr:pic>
    <xdr:clientData/>
  </xdr:twoCellAnchor>
  <xdr:twoCellAnchor editAs="oneCell">
    <xdr:from>
      <xdr:col>7</xdr:col>
      <xdr:colOff>208329</xdr:colOff>
      <xdr:row>14</xdr:row>
      <xdr:rowOff>77367</xdr:rowOff>
    </xdr:from>
    <xdr:to>
      <xdr:col>7</xdr:col>
      <xdr:colOff>1216269</xdr:colOff>
      <xdr:row>14</xdr:row>
      <xdr:rowOff>1190958</xdr:rowOff>
    </xdr:to>
    <xdr:pic>
      <xdr:nvPicPr>
        <xdr:cNvPr id="19" name="Picture 18">
          <a:hlinkClick xmlns:r="http://schemas.openxmlformats.org/officeDocument/2006/relationships" r:id="rId38"/>
          <a:extLst>
            <a:ext uri="{FF2B5EF4-FFF2-40B4-BE49-F238E27FC236}">
              <a16:creationId xmlns:a16="http://schemas.microsoft.com/office/drawing/2014/main" id="{125D8F1A-7CF8-4475-A9BA-8D1B1EF7D8DB}"/>
            </a:ext>
          </a:extLst>
        </xdr:cNvPr>
        <xdr:cNvPicPr>
          <a:picLocks noChangeAspect="1"/>
        </xdr:cNvPicPr>
      </xdr:nvPicPr>
      <xdr:blipFill rotWithShape="1">
        <a:blip xmlns:r="http://schemas.openxmlformats.org/officeDocument/2006/relationships" r:embed="rId101" cstate="print">
          <a:extLst>
            <a:ext uri="{28A0092B-C50C-407E-A947-70E740481C1C}">
              <a14:useLocalDpi xmlns:a14="http://schemas.microsoft.com/office/drawing/2010/main" val="0"/>
            </a:ext>
          </a:extLst>
        </a:blip>
        <a:srcRect l="27428" t="19999" r="23429" b="22144"/>
        <a:stretch/>
      </xdr:blipFill>
      <xdr:spPr>
        <a:xfrm>
          <a:off x="5249252" y="9060175"/>
          <a:ext cx="1007940" cy="11135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9645</xdr:rowOff>
    </xdr:from>
    <xdr:to>
      <xdr:col>10</xdr:col>
      <xdr:colOff>0</xdr:colOff>
      <xdr:row>4</xdr:row>
      <xdr:rowOff>0</xdr:rowOff>
    </xdr:to>
    <xdr:pic>
      <xdr:nvPicPr>
        <xdr:cNvPr id="3081" name="Picture 9" descr="C:\Users\ALUMIN~1\AppData\Local\Temp\SNAGHTML8fe43f1.PNG">
          <a:extLst>
            <a:ext uri="{FF2B5EF4-FFF2-40B4-BE49-F238E27FC236}">
              <a16:creationId xmlns:a16="http://schemas.microsoft.com/office/drawing/2014/main" id="{00000000-0008-0000-0200-000009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645"/>
          <a:ext cx="8966200" cy="1501655"/>
        </a:xfrm>
        <a:prstGeom prst="rect">
          <a:avLst/>
        </a:prstGeom>
        <a:noFill/>
      </xdr:spPr>
    </xdr:pic>
    <xdr:clientData/>
  </xdr:twoCellAnchor>
  <xdr:twoCellAnchor>
    <xdr:from>
      <xdr:col>0</xdr:col>
      <xdr:colOff>152400</xdr:colOff>
      <xdr:row>0</xdr:row>
      <xdr:rowOff>0</xdr:rowOff>
    </xdr:from>
    <xdr:to>
      <xdr:col>4</xdr:col>
      <xdr:colOff>183000</xdr:colOff>
      <xdr:row>2</xdr:row>
      <xdr:rowOff>71778</xdr:rowOff>
    </xdr:to>
    <xdr:sp macro="" textlink="">
      <xdr:nvSpPr>
        <xdr:cNvPr id="7" name="Rectangle 6">
          <a:extLst>
            <a:ext uri="{FF2B5EF4-FFF2-40B4-BE49-F238E27FC236}">
              <a16:creationId xmlns:a16="http://schemas.microsoft.com/office/drawing/2014/main" id="{00000000-0008-0000-0200-000007000000}"/>
            </a:ext>
          </a:extLst>
        </xdr:cNvPr>
        <xdr:cNvSpPr/>
      </xdr:nvSpPr>
      <xdr:spPr>
        <a:xfrm>
          <a:off x="152400" y="0"/>
          <a:ext cx="3886320" cy="620418"/>
        </a:xfrm>
        <a:prstGeom prst="rect">
          <a:avLst/>
        </a:prstGeom>
        <a:noFill/>
      </xdr:spPr>
      <xdr:txBody>
        <a:bodyPr wrap="none" lIns="91440" tIns="45720" rIns="91440" bIns="45720">
          <a:noAutofit/>
        </a:bodyPr>
        <a:lstStyle/>
        <a:p>
          <a:pPr algn="ctr"/>
          <a:endParaRPr lang="en-US" sz="4400" b="1" cap="none" spc="0">
            <a:ln w="1905"/>
            <a:solidFill>
              <a:schemeClr val="tx2">
                <a:lumMod val="60000"/>
                <a:lumOff val="40000"/>
              </a:schemeClr>
            </a:solidFill>
            <a:effectLst>
              <a:innerShdw blurRad="69850" dist="43180" dir="5400000">
                <a:srgbClr val="000000">
                  <a:alpha val="65000"/>
                </a:srgbClr>
              </a:innerShdw>
            </a:effectLst>
          </a:endParaRPr>
        </a:p>
      </xdr:txBody>
    </xdr:sp>
    <xdr:clientData/>
  </xdr:twoCellAnchor>
  <xdr:twoCellAnchor>
    <xdr:from>
      <xdr:col>6</xdr:col>
      <xdr:colOff>678180</xdr:colOff>
      <xdr:row>0</xdr:row>
      <xdr:rowOff>40125</xdr:rowOff>
    </xdr:from>
    <xdr:to>
      <xdr:col>9</xdr:col>
      <xdr:colOff>99060</xdr:colOff>
      <xdr:row>1</xdr:row>
      <xdr:rowOff>9645</xdr:rowOff>
    </xdr:to>
    <xdr:sp macro="" textlink="">
      <xdr:nvSpPr>
        <xdr:cNvPr id="9" name="TextBox 8">
          <a:hlinkClick xmlns:r="http://schemas.openxmlformats.org/officeDocument/2006/relationships" r:id="rId2"/>
          <a:extLst>
            <a:ext uri="{FF2B5EF4-FFF2-40B4-BE49-F238E27FC236}">
              <a16:creationId xmlns:a16="http://schemas.microsoft.com/office/drawing/2014/main" id="{00000000-0008-0000-0200-000009000000}"/>
            </a:ext>
          </a:extLst>
        </xdr:cNvPr>
        <xdr:cNvSpPr txBox="1"/>
      </xdr:nvSpPr>
      <xdr:spPr>
        <a:xfrm>
          <a:off x="6713220" y="40125"/>
          <a:ext cx="1447800" cy="28194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tx2"/>
              </a:solidFill>
              <a:effectLst/>
            </a:rPr>
            <a:t>Return to Menu</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597193</xdr:colOff>
      <xdr:row>20</xdr:row>
      <xdr:rowOff>174979</xdr:rowOff>
    </xdr:from>
    <xdr:to>
      <xdr:col>3</xdr:col>
      <xdr:colOff>6974</xdr:colOff>
      <xdr:row>23</xdr:row>
      <xdr:rowOff>740834</xdr:rowOff>
    </xdr:to>
    <xdr:pic>
      <xdr:nvPicPr>
        <xdr:cNvPr id="17" name="Picture 3">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cstate="print">
          <a:lum bright="10000"/>
        </a:blip>
        <a:srcRect l="17611" t="15278" r="12727"/>
        <a:stretch>
          <a:fillRect/>
        </a:stretch>
      </xdr:blipFill>
      <xdr:spPr bwMode="auto">
        <a:xfrm>
          <a:off x="2403415" y="5339646"/>
          <a:ext cx="1202597" cy="1476022"/>
        </a:xfrm>
        <a:prstGeom prst="rect">
          <a:avLst/>
        </a:prstGeom>
        <a:noFill/>
      </xdr:spPr>
    </xdr:pic>
    <xdr:clientData/>
  </xdr:twoCellAnchor>
  <xdr:twoCellAnchor>
    <xdr:from>
      <xdr:col>1</xdr:col>
      <xdr:colOff>24553</xdr:colOff>
      <xdr:row>0</xdr:row>
      <xdr:rowOff>203480</xdr:rowOff>
    </xdr:from>
    <xdr:to>
      <xdr:col>2</xdr:col>
      <xdr:colOff>1630680</xdr:colOff>
      <xdr:row>0</xdr:row>
      <xdr:rowOff>477800</xdr:rowOff>
    </xdr:to>
    <xdr:grpSp>
      <xdr:nvGrpSpPr>
        <xdr:cNvPr id="13" name="Group 12">
          <a:extLst>
            <a:ext uri="{FF2B5EF4-FFF2-40B4-BE49-F238E27FC236}">
              <a16:creationId xmlns:a16="http://schemas.microsoft.com/office/drawing/2014/main" id="{00000000-0008-0000-0400-00000D000000}"/>
            </a:ext>
          </a:extLst>
        </xdr:cNvPr>
        <xdr:cNvGrpSpPr/>
      </xdr:nvGrpSpPr>
      <xdr:grpSpPr>
        <a:xfrm>
          <a:off x="27728" y="200305"/>
          <a:ext cx="3400002" cy="277495"/>
          <a:chOff x="83820" y="203480"/>
          <a:chExt cx="3375660" cy="274320"/>
        </a:xfrm>
      </xdr:grpSpPr>
      <xdr:sp macro="" textlink="">
        <xdr:nvSpPr>
          <xdr:cNvPr id="12" name="TextBox 11">
            <a:hlinkClick xmlns:r="http://schemas.openxmlformats.org/officeDocument/2006/relationships" r:id="rId2" tooltip="Return To Menu"/>
            <a:extLst>
              <a:ext uri="{FF2B5EF4-FFF2-40B4-BE49-F238E27FC236}">
                <a16:creationId xmlns:a16="http://schemas.microsoft.com/office/drawing/2014/main" id="{00000000-0008-0000-0400-00000C000000}"/>
              </a:ext>
            </a:extLst>
          </xdr:cNvPr>
          <xdr:cNvSpPr txBox="1"/>
        </xdr:nvSpPr>
        <xdr:spPr>
          <a:xfrm>
            <a:off x="8382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14" name="TextBox 13">
            <a:hlinkClick xmlns:r="http://schemas.openxmlformats.org/officeDocument/2006/relationships" r:id="rId3" tooltip="Go To Bill of Materials "/>
            <a:extLst>
              <a:ext uri="{FF2B5EF4-FFF2-40B4-BE49-F238E27FC236}">
                <a16:creationId xmlns:a16="http://schemas.microsoft.com/office/drawing/2014/main" id="{00000000-0008-0000-0400-00000E000000}"/>
              </a:ext>
            </a:extLst>
          </xdr:cNvPr>
          <xdr:cNvSpPr txBox="1"/>
        </xdr:nvSpPr>
        <xdr:spPr>
          <a:xfrm>
            <a:off x="185928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editAs="oneCell">
    <xdr:from>
      <xdr:col>0</xdr:col>
      <xdr:colOff>0</xdr:colOff>
      <xdr:row>3</xdr:row>
      <xdr:rowOff>46566</xdr:rowOff>
    </xdr:from>
    <xdr:to>
      <xdr:col>2</xdr:col>
      <xdr:colOff>874889</xdr:colOff>
      <xdr:row>11</xdr:row>
      <xdr:rowOff>155222</xdr:rowOff>
    </xdr:to>
    <xdr:pic>
      <xdr:nvPicPr>
        <xdr:cNvPr id="7" name="Picture 6">
          <a:extLst>
            <a:ext uri="{FF2B5EF4-FFF2-40B4-BE49-F238E27FC236}">
              <a16:creationId xmlns:a16="http://schemas.microsoft.com/office/drawing/2014/main" id="{23430600-5E6A-431A-8904-4D53A579D5F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133122"/>
          <a:ext cx="2681111" cy="1519767"/>
        </a:xfrm>
        <a:prstGeom prst="rect">
          <a:avLst/>
        </a:prstGeom>
      </xdr:spPr>
    </xdr:pic>
    <xdr:clientData/>
  </xdr:twoCellAnchor>
  <xdr:twoCellAnchor editAs="oneCell">
    <xdr:from>
      <xdr:col>1</xdr:col>
      <xdr:colOff>21166</xdr:colOff>
      <xdr:row>12</xdr:row>
      <xdr:rowOff>154601</xdr:rowOff>
    </xdr:from>
    <xdr:to>
      <xdr:col>2</xdr:col>
      <xdr:colOff>239181</xdr:colOff>
      <xdr:row>15</xdr:row>
      <xdr:rowOff>603249</xdr:rowOff>
    </xdr:to>
    <xdr:pic>
      <xdr:nvPicPr>
        <xdr:cNvPr id="8" name="Picture 7">
          <a:extLst>
            <a:ext uri="{FF2B5EF4-FFF2-40B4-BE49-F238E27FC236}">
              <a16:creationId xmlns:a16="http://schemas.microsoft.com/office/drawing/2014/main" id="{DED3E978-B031-4664-A796-9389802DFB8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1337" r="4573"/>
        <a:stretch/>
      </xdr:blipFill>
      <xdr:spPr>
        <a:xfrm>
          <a:off x="21166" y="2874518"/>
          <a:ext cx="2010832" cy="988398"/>
        </a:xfrm>
        <a:prstGeom prst="rect">
          <a:avLst/>
        </a:prstGeom>
      </xdr:spPr>
    </xdr:pic>
    <xdr:clientData/>
  </xdr:twoCellAnchor>
  <xdr:twoCellAnchor editAs="oneCell">
    <xdr:from>
      <xdr:col>1</xdr:col>
      <xdr:colOff>119944</xdr:colOff>
      <xdr:row>21</xdr:row>
      <xdr:rowOff>42333</xdr:rowOff>
    </xdr:from>
    <xdr:to>
      <xdr:col>2</xdr:col>
      <xdr:colOff>606778</xdr:colOff>
      <xdr:row>24</xdr:row>
      <xdr:rowOff>0</xdr:rowOff>
    </xdr:to>
    <xdr:pic>
      <xdr:nvPicPr>
        <xdr:cNvPr id="9" name="Picture 8">
          <a:extLst>
            <a:ext uri="{FF2B5EF4-FFF2-40B4-BE49-F238E27FC236}">
              <a16:creationId xmlns:a16="http://schemas.microsoft.com/office/drawing/2014/main" id="{22520F52-1D93-4FCD-96CF-10570911CDF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9944" y="4677833"/>
          <a:ext cx="2293056" cy="1439333"/>
        </a:xfrm>
        <a:prstGeom prst="rect">
          <a:avLst/>
        </a:prstGeom>
      </xdr:spPr>
    </xdr:pic>
    <xdr:clientData/>
  </xdr:twoCellAnchor>
  <xdr:twoCellAnchor editAs="oneCell">
    <xdr:from>
      <xdr:col>0</xdr:col>
      <xdr:colOff>0</xdr:colOff>
      <xdr:row>17</xdr:row>
      <xdr:rowOff>52916</xdr:rowOff>
    </xdr:from>
    <xdr:to>
      <xdr:col>2</xdr:col>
      <xdr:colOff>753083</xdr:colOff>
      <xdr:row>19</xdr:row>
      <xdr:rowOff>429683</xdr:rowOff>
    </xdr:to>
    <xdr:pic>
      <xdr:nvPicPr>
        <xdr:cNvPr id="10" name="Picture 9">
          <a:extLst>
            <a:ext uri="{FF2B5EF4-FFF2-40B4-BE49-F238E27FC236}">
              <a16:creationId xmlns:a16="http://schemas.microsoft.com/office/drawing/2014/main" id="{AE50CF63-3A15-475E-B872-E944D05864A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289" t="42148" r="28420" b="37135"/>
        <a:stretch/>
      </xdr:blipFill>
      <xdr:spPr>
        <a:xfrm>
          <a:off x="0" y="4169833"/>
          <a:ext cx="2552250" cy="736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198967</xdr:colOff>
      <xdr:row>21</xdr:row>
      <xdr:rowOff>73378</xdr:rowOff>
    </xdr:from>
    <xdr:to>
      <xdr:col>2</xdr:col>
      <xdr:colOff>1302334</xdr:colOff>
      <xdr:row>25</xdr:row>
      <xdr:rowOff>136163</xdr:rowOff>
    </xdr:to>
    <xdr:pic>
      <xdr:nvPicPr>
        <xdr:cNvPr id="31" name="Picture 30">
          <a:extLst>
            <a:ext uri="{FF2B5EF4-FFF2-40B4-BE49-F238E27FC236}">
              <a16:creationId xmlns:a16="http://schemas.microsoft.com/office/drawing/2014/main" id="{F31A5E3E-4638-42D1-8990-BA143BE63D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562" t="28755" r="22736" b="11043"/>
        <a:stretch/>
      </xdr:blipFill>
      <xdr:spPr>
        <a:xfrm>
          <a:off x="2065867" y="4365978"/>
          <a:ext cx="1109717" cy="773985"/>
        </a:xfrm>
        <a:prstGeom prst="rect">
          <a:avLst/>
        </a:prstGeom>
      </xdr:spPr>
    </xdr:pic>
    <xdr:clientData/>
  </xdr:twoCellAnchor>
  <xdr:twoCellAnchor editAs="oneCell">
    <xdr:from>
      <xdr:col>0</xdr:col>
      <xdr:colOff>0</xdr:colOff>
      <xdr:row>50</xdr:row>
      <xdr:rowOff>28787</xdr:rowOff>
    </xdr:from>
    <xdr:to>
      <xdr:col>1</xdr:col>
      <xdr:colOff>1773203</xdr:colOff>
      <xdr:row>56</xdr:row>
      <xdr:rowOff>35279</xdr:rowOff>
    </xdr:to>
    <xdr:pic>
      <xdr:nvPicPr>
        <xdr:cNvPr id="11" name="Picture 10" descr="End Caps All.jpg">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email"/>
        <a:srcRect/>
        <a:stretch>
          <a:fillRect/>
        </a:stretch>
      </xdr:blipFill>
      <xdr:spPr>
        <a:xfrm>
          <a:off x="0" y="9582009"/>
          <a:ext cx="1836703" cy="1064826"/>
        </a:xfrm>
        <a:prstGeom prst="rect">
          <a:avLst/>
        </a:prstGeom>
      </xdr:spPr>
    </xdr:pic>
    <xdr:clientData/>
  </xdr:twoCellAnchor>
  <xdr:twoCellAnchor editAs="oneCell">
    <xdr:from>
      <xdr:col>0</xdr:col>
      <xdr:colOff>0</xdr:colOff>
      <xdr:row>8</xdr:row>
      <xdr:rowOff>70555</xdr:rowOff>
    </xdr:from>
    <xdr:to>
      <xdr:col>1</xdr:col>
      <xdr:colOff>1260337</xdr:colOff>
      <xdr:row>13</xdr:row>
      <xdr:rowOff>122061</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3" cstate="print"/>
        <a:stretch>
          <a:fillRect/>
        </a:stretch>
      </xdr:blipFill>
      <xdr:spPr>
        <a:xfrm>
          <a:off x="0" y="2215444"/>
          <a:ext cx="1323837" cy="939800"/>
        </a:xfrm>
        <a:prstGeom prst="rect">
          <a:avLst/>
        </a:prstGeom>
      </xdr:spPr>
    </xdr:pic>
    <xdr:clientData/>
  </xdr:twoCellAnchor>
  <xdr:twoCellAnchor editAs="oneCell">
    <xdr:from>
      <xdr:col>2</xdr:col>
      <xdr:colOff>105832</xdr:colOff>
      <xdr:row>9</xdr:row>
      <xdr:rowOff>122787</xdr:rowOff>
    </xdr:from>
    <xdr:to>
      <xdr:col>2</xdr:col>
      <xdr:colOff>848525</xdr:colOff>
      <xdr:row>13</xdr:row>
      <xdr:rowOff>134056</xdr:rowOff>
    </xdr:to>
    <xdr:pic>
      <xdr:nvPicPr>
        <xdr:cNvPr id="56" name="Picture 7">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4" cstate="email"/>
        <a:srcRect/>
        <a:stretch>
          <a:fillRect/>
        </a:stretch>
      </xdr:blipFill>
      <xdr:spPr bwMode="auto">
        <a:xfrm>
          <a:off x="1975554" y="2444065"/>
          <a:ext cx="742693" cy="716824"/>
        </a:xfrm>
        <a:prstGeom prst="rect">
          <a:avLst/>
        </a:prstGeom>
        <a:noFill/>
      </xdr:spPr>
    </xdr:pic>
    <xdr:clientData/>
  </xdr:twoCellAnchor>
  <xdr:twoCellAnchor editAs="oneCell">
    <xdr:from>
      <xdr:col>2</xdr:col>
      <xdr:colOff>541020</xdr:colOff>
      <xdr:row>50</xdr:row>
      <xdr:rowOff>7620</xdr:rowOff>
    </xdr:from>
    <xdr:to>
      <xdr:col>2</xdr:col>
      <xdr:colOff>1073757</xdr:colOff>
      <xdr:row>53</xdr:row>
      <xdr:rowOff>171449</xdr:rowOff>
    </xdr:to>
    <xdr:pic>
      <xdr:nvPicPr>
        <xdr:cNvPr id="12" name="Picture 11" descr="End Cap PF Large.jpg">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5" cstate="email"/>
        <a:srcRect/>
        <a:stretch>
          <a:fillRect/>
        </a:stretch>
      </xdr:blipFill>
      <xdr:spPr>
        <a:xfrm>
          <a:off x="2407920" y="9456420"/>
          <a:ext cx="532737" cy="697229"/>
        </a:xfrm>
        <a:prstGeom prst="rect">
          <a:avLst/>
        </a:prstGeom>
      </xdr:spPr>
    </xdr:pic>
    <xdr:clientData/>
  </xdr:twoCellAnchor>
  <xdr:twoCellAnchor editAs="oneCell">
    <xdr:from>
      <xdr:col>2</xdr:col>
      <xdr:colOff>76198</xdr:colOff>
      <xdr:row>15</xdr:row>
      <xdr:rowOff>68580</xdr:rowOff>
    </xdr:from>
    <xdr:to>
      <xdr:col>2</xdr:col>
      <xdr:colOff>1484994</xdr:colOff>
      <xdr:row>19</xdr:row>
      <xdr:rowOff>160020</xdr:rowOff>
    </xdr:to>
    <xdr:pic>
      <xdr:nvPicPr>
        <xdr:cNvPr id="42" name="Picture 41" descr="90 Large.jpg">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6" cstate="email"/>
        <a:srcRect/>
        <a:stretch>
          <a:fillRect/>
        </a:stretch>
      </xdr:blipFill>
      <xdr:spPr>
        <a:xfrm>
          <a:off x="1904998" y="5509260"/>
          <a:ext cx="1408796" cy="822960"/>
        </a:xfrm>
        <a:prstGeom prst="rect">
          <a:avLst/>
        </a:prstGeom>
      </xdr:spPr>
    </xdr:pic>
    <xdr:clientData/>
  </xdr:twoCellAnchor>
  <xdr:twoCellAnchor editAs="oneCell">
    <xdr:from>
      <xdr:col>2</xdr:col>
      <xdr:colOff>114298</xdr:colOff>
      <xdr:row>28</xdr:row>
      <xdr:rowOff>45720</xdr:rowOff>
    </xdr:from>
    <xdr:to>
      <xdr:col>2</xdr:col>
      <xdr:colOff>1456034</xdr:colOff>
      <xdr:row>31</xdr:row>
      <xdr:rowOff>45720</xdr:rowOff>
    </xdr:to>
    <xdr:pic>
      <xdr:nvPicPr>
        <xdr:cNvPr id="45" name="Picture 44" descr="Elbow 45 Large.jpg">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email"/>
        <a:srcRect/>
        <a:stretch>
          <a:fillRect/>
        </a:stretch>
      </xdr:blipFill>
      <xdr:spPr>
        <a:xfrm>
          <a:off x="1943098" y="7863840"/>
          <a:ext cx="1348086" cy="548640"/>
        </a:xfrm>
        <a:prstGeom prst="rect">
          <a:avLst/>
        </a:prstGeom>
      </xdr:spPr>
    </xdr:pic>
    <xdr:clientData/>
  </xdr:twoCellAnchor>
  <xdr:twoCellAnchor editAs="oneCell">
    <xdr:from>
      <xdr:col>2</xdr:col>
      <xdr:colOff>93416</xdr:colOff>
      <xdr:row>45</xdr:row>
      <xdr:rowOff>60960</xdr:rowOff>
    </xdr:from>
    <xdr:to>
      <xdr:col>2</xdr:col>
      <xdr:colOff>923996</xdr:colOff>
      <xdr:row>48</xdr:row>
      <xdr:rowOff>161291</xdr:rowOff>
    </xdr:to>
    <xdr:pic>
      <xdr:nvPicPr>
        <xdr:cNvPr id="48" name="Picture 47" descr="Eq Tee 6 inch.jpg">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8" cstate="email"/>
        <a:srcRect/>
        <a:stretch>
          <a:fillRect/>
        </a:stretch>
      </xdr:blipFill>
      <xdr:spPr>
        <a:xfrm>
          <a:off x="1963138" y="8732238"/>
          <a:ext cx="830580" cy="635847"/>
        </a:xfrm>
        <a:prstGeom prst="rect">
          <a:avLst/>
        </a:prstGeom>
      </xdr:spPr>
    </xdr:pic>
    <xdr:clientData/>
  </xdr:twoCellAnchor>
  <xdr:twoCellAnchor editAs="oneCell">
    <xdr:from>
      <xdr:col>1</xdr:col>
      <xdr:colOff>7620</xdr:colOff>
      <xdr:row>39</xdr:row>
      <xdr:rowOff>167640</xdr:rowOff>
    </xdr:from>
    <xdr:to>
      <xdr:col>2</xdr:col>
      <xdr:colOff>292403</xdr:colOff>
      <xdr:row>43</xdr:row>
      <xdr:rowOff>161289</xdr:rowOff>
    </xdr:to>
    <xdr:pic>
      <xdr:nvPicPr>
        <xdr:cNvPr id="49" name="Picture 48" descr="Equal Tees All.jpg">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email"/>
        <a:srcRect/>
        <a:stretch>
          <a:fillRect/>
        </a:stretch>
      </xdr:blipFill>
      <xdr:spPr>
        <a:xfrm>
          <a:off x="7620" y="9174480"/>
          <a:ext cx="2052623" cy="731520"/>
        </a:xfrm>
        <a:prstGeom prst="rect">
          <a:avLst/>
        </a:prstGeom>
      </xdr:spPr>
    </xdr:pic>
    <xdr:clientData/>
  </xdr:twoCellAnchor>
  <xdr:twoCellAnchor editAs="oneCell">
    <xdr:from>
      <xdr:col>1</xdr:col>
      <xdr:colOff>1665111</xdr:colOff>
      <xdr:row>33</xdr:row>
      <xdr:rowOff>84666</xdr:rowOff>
    </xdr:from>
    <xdr:to>
      <xdr:col>2</xdr:col>
      <xdr:colOff>1038980</xdr:colOff>
      <xdr:row>38</xdr:row>
      <xdr:rowOff>163275</xdr:rowOff>
    </xdr:to>
    <xdr:pic>
      <xdr:nvPicPr>
        <xdr:cNvPr id="47" name="Picture 46" descr="Elbows 45 4 and 6 inch.jpg">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email"/>
        <a:srcRect/>
        <a:stretch>
          <a:fillRect/>
        </a:stretch>
      </xdr:blipFill>
      <xdr:spPr>
        <a:xfrm>
          <a:off x="1728611" y="6639277"/>
          <a:ext cx="1173741" cy="960554"/>
        </a:xfrm>
        <a:prstGeom prst="rect">
          <a:avLst/>
        </a:prstGeom>
      </xdr:spPr>
    </xdr:pic>
    <xdr:clientData/>
  </xdr:twoCellAnchor>
  <xdr:twoCellAnchor editAs="oneCell">
    <xdr:from>
      <xdr:col>2</xdr:col>
      <xdr:colOff>571500</xdr:colOff>
      <xdr:row>40</xdr:row>
      <xdr:rowOff>45720</xdr:rowOff>
    </xdr:from>
    <xdr:to>
      <xdr:col>2</xdr:col>
      <xdr:colOff>1380490</xdr:colOff>
      <xdr:row>43</xdr:row>
      <xdr:rowOff>68579</xdr:rowOff>
    </xdr:to>
    <xdr:pic>
      <xdr:nvPicPr>
        <xdr:cNvPr id="14" name="Picture 13" descr="Eq Tee PF Large.jpg">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1" cstate="email"/>
        <a:srcRect/>
        <a:stretch>
          <a:fillRect/>
        </a:stretch>
      </xdr:blipFill>
      <xdr:spPr>
        <a:xfrm>
          <a:off x="2400300" y="9692640"/>
          <a:ext cx="815340" cy="571500"/>
        </a:xfrm>
        <a:prstGeom prst="rect">
          <a:avLst/>
        </a:prstGeom>
      </xdr:spPr>
    </xdr:pic>
    <xdr:clientData/>
  </xdr:twoCellAnchor>
  <xdr:twoCellAnchor editAs="oneCell">
    <xdr:from>
      <xdr:col>1</xdr:col>
      <xdr:colOff>49106</xdr:colOff>
      <xdr:row>3</xdr:row>
      <xdr:rowOff>33866</xdr:rowOff>
    </xdr:from>
    <xdr:to>
      <xdr:col>1</xdr:col>
      <xdr:colOff>958850</xdr:colOff>
      <xdr:row>7</xdr:row>
      <xdr:rowOff>125485</xdr:rowOff>
    </xdr:to>
    <xdr:pic>
      <xdr:nvPicPr>
        <xdr:cNvPr id="55" name="Picture 54" descr="Equal Unions PF.jpg">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12" cstate="email"/>
        <a:srcRect/>
        <a:stretch>
          <a:fillRect/>
        </a:stretch>
      </xdr:blipFill>
      <xdr:spPr>
        <a:xfrm>
          <a:off x="112606" y="1126066"/>
          <a:ext cx="916094" cy="802819"/>
        </a:xfrm>
        <a:prstGeom prst="rect">
          <a:avLst/>
        </a:prstGeom>
      </xdr:spPr>
    </xdr:pic>
    <xdr:clientData/>
  </xdr:twoCellAnchor>
  <xdr:twoCellAnchor editAs="oneCell">
    <xdr:from>
      <xdr:col>1</xdr:col>
      <xdr:colOff>45720</xdr:colOff>
      <xdr:row>15</xdr:row>
      <xdr:rowOff>53340</xdr:rowOff>
    </xdr:from>
    <xdr:to>
      <xdr:col>1</xdr:col>
      <xdr:colOff>1368620</xdr:colOff>
      <xdr:row>20</xdr:row>
      <xdr:rowOff>144780</xdr:rowOff>
    </xdr:to>
    <xdr:pic>
      <xdr:nvPicPr>
        <xdr:cNvPr id="76" name="Picture 75" descr="PF 90s.jpg">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13" cstate="email"/>
        <a:srcRect/>
        <a:stretch>
          <a:fillRect/>
        </a:stretch>
      </xdr:blipFill>
      <xdr:spPr>
        <a:xfrm>
          <a:off x="45720" y="5036820"/>
          <a:ext cx="1322900" cy="1005840"/>
        </a:xfrm>
        <a:prstGeom prst="rect">
          <a:avLst/>
        </a:prstGeom>
      </xdr:spPr>
    </xdr:pic>
    <xdr:clientData/>
  </xdr:twoCellAnchor>
  <xdr:twoCellAnchor>
    <xdr:from>
      <xdr:col>1</xdr:col>
      <xdr:colOff>24553</xdr:colOff>
      <xdr:row>0</xdr:row>
      <xdr:rowOff>203479</xdr:rowOff>
    </xdr:from>
    <xdr:to>
      <xdr:col>2</xdr:col>
      <xdr:colOff>1630680</xdr:colOff>
      <xdr:row>0</xdr:row>
      <xdr:rowOff>477799</xdr:rowOff>
    </xdr:to>
    <xdr:grpSp>
      <xdr:nvGrpSpPr>
        <xdr:cNvPr id="24" name="Group 23">
          <a:extLst>
            <a:ext uri="{FF2B5EF4-FFF2-40B4-BE49-F238E27FC236}">
              <a16:creationId xmlns:a16="http://schemas.microsoft.com/office/drawing/2014/main" id="{00000000-0008-0000-0500-000018000000}"/>
            </a:ext>
          </a:extLst>
        </xdr:cNvPr>
        <xdr:cNvGrpSpPr/>
      </xdr:nvGrpSpPr>
      <xdr:grpSpPr>
        <a:xfrm>
          <a:off x="94403" y="200304"/>
          <a:ext cx="3400002" cy="277495"/>
          <a:chOff x="83820" y="203480"/>
          <a:chExt cx="3375660" cy="274320"/>
        </a:xfrm>
        <a:solidFill>
          <a:schemeClr val="bg2"/>
        </a:solidFill>
      </xdr:grpSpPr>
      <xdr:sp macro="" textlink="">
        <xdr:nvSpPr>
          <xdr:cNvPr id="26" name="TextBox 25">
            <a:hlinkClick xmlns:r="http://schemas.openxmlformats.org/officeDocument/2006/relationships" r:id="rId14" tooltip="Return to Menu"/>
            <a:extLst>
              <a:ext uri="{FF2B5EF4-FFF2-40B4-BE49-F238E27FC236}">
                <a16:creationId xmlns:a16="http://schemas.microsoft.com/office/drawing/2014/main" id="{00000000-0008-0000-0500-00001A000000}"/>
              </a:ext>
            </a:extLst>
          </xdr:cNvPr>
          <xdr:cNvSpPr txBox="1"/>
        </xdr:nvSpPr>
        <xdr:spPr>
          <a:xfrm>
            <a:off x="83820" y="203480"/>
            <a:ext cx="1600200" cy="274320"/>
          </a:xfrm>
          <a:prstGeom prst="rect">
            <a:avLst/>
          </a:prstGeom>
          <a:grp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7" name="TextBox 26">
            <a:hlinkClick xmlns:r="http://schemas.openxmlformats.org/officeDocument/2006/relationships" r:id="rId15" tooltip="Go to Bill of Materials"/>
            <a:extLst>
              <a:ext uri="{FF2B5EF4-FFF2-40B4-BE49-F238E27FC236}">
                <a16:creationId xmlns:a16="http://schemas.microsoft.com/office/drawing/2014/main" id="{00000000-0008-0000-0500-00001B000000}"/>
              </a:ext>
            </a:extLst>
          </xdr:cNvPr>
          <xdr:cNvSpPr txBox="1"/>
        </xdr:nvSpPr>
        <xdr:spPr>
          <a:xfrm>
            <a:off x="1859280" y="203480"/>
            <a:ext cx="1600200" cy="274320"/>
          </a:xfrm>
          <a:prstGeom prst="rect">
            <a:avLst/>
          </a:prstGeom>
          <a:grp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7</xdr:col>
      <xdr:colOff>213076</xdr:colOff>
      <xdr:row>58</xdr:row>
      <xdr:rowOff>91723</xdr:rowOff>
    </xdr:from>
    <xdr:to>
      <xdr:col>10</xdr:col>
      <xdr:colOff>183443</xdr:colOff>
      <xdr:row>60</xdr:row>
      <xdr:rowOff>10443</xdr:rowOff>
    </xdr:to>
    <xdr:sp macro="" textlink="">
      <xdr:nvSpPr>
        <xdr:cNvPr id="28" name="TextBox 27">
          <a:hlinkClick xmlns:r="http://schemas.openxmlformats.org/officeDocument/2006/relationships" r:id="rId16" tooltip="Retun to Top of Page"/>
          <a:extLst>
            <a:ext uri="{FF2B5EF4-FFF2-40B4-BE49-F238E27FC236}">
              <a16:creationId xmlns:a16="http://schemas.microsoft.com/office/drawing/2014/main" id="{00000000-0008-0000-0500-00001C000000}"/>
            </a:ext>
          </a:extLst>
        </xdr:cNvPr>
        <xdr:cNvSpPr txBox="1"/>
      </xdr:nvSpPr>
      <xdr:spPr>
        <a:xfrm>
          <a:off x="9074854" y="11239501"/>
          <a:ext cx="1621367" cy="257386"/>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2</xdr:col>
      <xdr:colOff>65617</xdr:colOff>
      <xdr:row>3</xdr:row>
      <xdr:rowOff>75853</xdr:rowOff>
    </xdr:from>
    <xdr:to>
      <xdr:col>2</xdr:col>
      <xdr:colOff>1649669</xdr:colOff>
      <xdr:row>7</xdr:row>
      <xdr:rowOff>158750</xdr:rowOff>
    </xdr:to>
    <xdr:pic>
      <xdr:nvPicPr>
        <xdr:cNvPr id="29" name="Picture 28" descr="Equal Union.jpg">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7" cstate="email"/>
        <a:stretch>
          <a:fillRect/>
        </a:stretch>
      </xdr:blipFill>
      <xdr:spPr>
        <a:xfrm>
          <a:off x="1932517" y="1168053"/>
          <a:ext cx="1584052" cy="794097"/>
        </a:xfrm>
        <a:prstGeom prst="rect">
          <a:avLst/>
        </a:prstGeom>
      </xdr:spPr>
    </xdr:pic>
    <xdr:clientData/>
  </xdr:twoCellAnchor>
  <xdr:twoCellAnchor>
    <xdr:from>
      <xdr:col>2</xdr:col>
      <xdr:colOff>1037167</xdr:colOff>
      <xdr:row>10</xdr:row>
      <xdr:rowOff>162280</xdr:rowOff>
    </xdr:from>
    <xdr:to>
      <xdr:col>2</xdr:col>
      <xdr:colOff>1785056</xdr:colOff>
      <xdr:row>13</xdr:row>
      <xdr:rowOff>141114</xdr:rowOff>
    </xdr:to>
    <xdr:sp macro="" textlink="">
      <xdr:nvSpPr>
        <xdr:cNvPr id="2" name="TextBox 1">
          <a:extLst>
            <a:ext uri="{FF2B5EF4-FFF2-40B4-BE49-F238E27FC236}">
              <a16:creationId xmlns:a16="http://schemas.microsoft.com/office/drawing/2014/main" id="{7C832671-16D3-4749-B86E-79AF4833DEC7}"/>
            </a:ext>
          </a:extLst>
        </xdr:cNvPr>
        <xdr:cNvSpPr txBox="1"/>
      </xdr:nvSpPr>
      <xdr:spPr>
        <a:xfrm>
          <a:off x="2906889" y="2659947"/>
          <a:ext cx="747889" cy="50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   4" &amp; 6"</a:t>
          </a:r>
        </a:p>
        <a:p>
          <a:r>
            <a:rPr lang="en-US" sz="1100">
              <a:solidFill>
                <a:schemeClr val="accent1"/>
              </a:solidFill>
            </a:rPr>
            <a:t>Diameter</a:t>
          </a:r>
        </a:p>
      </xdr:txBody>
    </xdr:sp>
    <xdr:clientData/>
  </xdr:twoCellAnchor>
  <xdr:twoCellAnchor>
    <xdr:from>
      <xdr:col>1</xdr:col>
      <xdr:colOff>1224140</xdr:colOff>
      <xdr:row>9</xdr:row>
      <xdr:rowOff>74789</xdr:rowOff>
    </xdr:from>
    <xdr:to>
      <xdr:col>2</xdr:col>
      <xdr:colOff>278696</xdr:colOff>
      <xdr:row>13</xdr:row>
      <xdr:rowOff>60677</xdr:rowOff>
    </xdr:to>
    <xdr:sp macro="" textlink="">
      <xdr:nvSpPr>
        <xdr:cNvPr id="3" name="TextBox 2">
          <a:extLst>
            <a:ext uri="{FF2B5EF4-FFF2-40B4-BE49-F238E27FC236}">
              <a16:creationId xmlns:a16="http://schemas.microsoft.com/office/drawing/2014/main" id="{4788A8B9-8590-4D04-B49D-F1258C5C44B2}"/>
            </a:ext>
          </a:extLst>
        </xdr:cNvPr>
        <xdr:cNvSpPr txBox="1"/>
      </xdr:nvSpPr>
      <xdr:spPr>
        <a:xfrm>
          <a:off x="1287640" y="2233789"/>
          <a:ext cx="857956" cy="6970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 &amp; 3" Diameter</a:t>
          </a:r>
        </a:p>
      </xdr:txBody>
    </xdr:sp>
    <xdr:clientData/>
  </xdr:twoCellAnchor>
  <xdr:twoCellAnchor>
    <xdr:from>
      <xdr:col>2</xdr:col>
      <xdr:colOff>1023057</xdr:colOff>
      <xdr:row>24</xdr:row>
      <xdr:rowOff>56444</xdr:rowOff>
    </xdr:from>
    <xdr:to>
      <xdr:col>2</xdr:col>
      <xdr:colOff>1756835</xdr:colOff>
      <xdr:row>26</xdr:row>
      <xdr:rowOff>155222</xdr:rowOff>
    </xdr:to>
    <xdr:sp macro="" textlink="">
      <xdr:nvSpPr>
        <xdr:cNvPr id="4" name="TextBox 3">
          <a:extLst>
            <a:ext uri="{FF2B5EF4-FFF2-40B4-BE49-F238E27FC236}">
              <a16:creationId xmlns:a16="http://schemas.microsoft.com/office/drawing/2014/main" id="{26F34E45-9992-43ED-A439-C47402132EF1}"/>
            </a:ext>
          </a:extLst>
        </xdr:cNvPr>
        <xdr:cNvSpPr txBox="1"/>
      </xdr:nvSpPr>
      <xdr:spPr>
        <a:xfrm>
          <a:off x="2892779" y="5023555"/>
          <a:ext cx="733778" cy="451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4" &amp; 6" Diameter</a:t>
          </a:r>
        </a:p>
      </xdr:txBody>
    </xdr:sp>
    <xdr:clientData/>
  </xdr:twoCellAnchor>
  <xdr:twoCellAnchor>
    <xdr:from>
      <xdr:col>1</xdr:col>
      <xdr:colOff>1237545</xdr:colOff>
      <xdr:row>22</xdr:row>
      <xdr:rowOff>4234</xdr:rowOff>
    </xdr:from>
    <xdr:to>
      <xdr:col>2</xdr:col>
      <xdr:colOff>263878</xdr:colOff>
      <xdr:row>26</xdr:row>
      <xdr:rowOff>73377</xdr:rowOff>
    </xdr:to>
    <xdr:sp macro="" textlink="">
      <xdr:nvSpPr>
        <xdr:cNvPr id="7" name="TextBox 6">
          <a:extLst>
            <a:ext uri="{FF2B5EF4-FFF2-40B4-BE49-F238E27FC236}">
              <a16:creationId xmlns:a16="http://schemas.microsoft.com/office/drawing/2014/main" id="{CBB9AC14-33FB-48EA-B812-9C860395735C}"/>
            </a:ext>
          </a:extLst>
        </xdr:cNvPr>
        <xdr:cNvSpPr txBox="1"/>
      </xdr:nvSpPr>
      <xdr:spPr>
        <a:xfrm>
          <a:off x="1301045" y="4474634"/>
          <a:ext cx="829733" cy="7803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a:t>
          </a:r>
          <a:r>
            <a:rPr lang="en-US" sz="1100" baseline="0">
              <a:solidFill>
                <a:schemeClr val="accent1"/>
              </a:solidFill>
            </a:rPr>
            <a:t> &amp; 3" Diameter</a:t>
          </a:r>
          <a:endParaRPr lang="en-US" sz="1100">
            <a:solidFill>
              <a:schemeClr val="accent1"/>
            </a:solidFill>
          </a:endParaRPr>
        </a:p>
      </xdr:txBody>
    </xdr:sp>
    <xdr:clientData/>
  </xdr:twoCellAnchor>
  <xdr:twoCellAnchor>
    <xdr:from>
      <xdr:col>2</xdr:col>
      <xdr:colOff>1037166</xdr:colOff>
      <xdr:row>35</xdr:row>
      <xdr:rowOff>134057</xdr:rowOff>
    </xdr:from>
    <xdr:to>
      <xdr:col>2</xdr:col>
      <xdr:colOff>1785055</xdr:colOff>
      <xdr:row>38</xdr:row>
      <xdr:rowOff>63501</xdr:rowOff>
    </xdr:to>
    <xdr:sp macro="" textlink="">
      <xdr:nvSpPr>
        <xdr:cNvPr id="5" name="TextBox 4">
          <a:extLst>
            <a:ext uri="{FF2B5EF4-FFF2-40B4-BE49-F238E27FC236}">
              <a16:creationId xmlns:a16="http://schemas.microsoft.com/office/drawing/2014/main" id="{89B7A7FD-2BF7-41E2-9F13-86653D260B6C}"/>
            </a:ext>
          </a:extLst>
        </xdr:cNvPr>
        <xdr:cNvSpPr txBox="1"/>
      </xdr:nvSpPr>
      <xdr:spPr>
        <a:xfrm>
          <a:off x="2906888" y="7041446"/>
          <a:ext cx="747889" cy="4586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4" &amp; 6" Diameter</a:t>
          </a:r>
        </a:p>
      </xdr:txBody>
    </xdr:sp>
    <xdr:clientData/>
  </xdr:twoCellAnchor>
  <xdr:oneCellAnchor>
    <xdr:from>
      <xdr:col>2</xdr:col>
      <xdr:colOff>1008945</xdr:colOff>
      <xdr:row>45</xdr:row>
      <xdr:rowOff>148165</xdr:rowOff>
    </xdr:from>
    <xdr:ext cx="726722" cy="436786"/>
    <xdr:sp macro="" textlink="">
      <xdr:nvSpPr>
        <xdr:cNvPr id="6" name="TextBox 5">
          <a:extLst>
            <a:ext uri="{FF2B5EF4-FFF2-40B4-BE49-F238E27FC236}">
              <a16:creationId xmlns:a16="http://schemas.microsoft.com/office/drawing/2014/main" id="{F2B24ABF-060E-4655-B147-A201ED6D5306}"/>
            </a:ext>
          </a:extLst>
        </xdr:cNvPr>
        <xdr:cNvSpPr txBox="1"/>
      </xdr:nvSpPr>
      <xdr:spPr>
        <a:xfrm>
          <a:off x="2878667" y="8819443"/>
          <a:ext cx="726722" cy="43678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accent1"/>
              </a:solidFill>
            </a:rPr>
            <a:t>4" &amp; 6" Diameter</a:t>
          </a:r>
        </a:p>
      </xdr:txBody>
    </xdr:sp>
    <xdr:clientData/>
  </xdr:oneCellAnchor>
  <xdr:twoCellAnchor editAs="oneCell">
    <xdr:from>
      <xdr:col>2</xdr:col>
      <xdr:colOff>151874</xdr:colOff>
      <xdr:row>9</xdr:row>
      <xdr:rowOff>9313</xdr:rowOff>
    </xdr:from>
    <xdr:to>
      <xdr:col>2</xdr:col>
      <xdr:colOff>1066803</xdr:colOff>
      <xdr:row>13</xdr:row>
      <xdr:rowOff>155222</xdr:rowOff>
    </xdr:to>
    <xdr:pic>
      <xdr:nvPicPr>
        <xdr:cNvPr id="30" name="Picture 29">
          <a:extLst>
            <a:ext uri="{FF2B5EF4-FFF2-40B4-BE49-F238E27FC236}">
              <a16:creationId xmlns:a16="http://schemas.microsoft.com/office/drawing/2014/main" id="{F7ABA529-1FF9-4941-8460-11A193927283}"/>
            </a:ext>
          </a:extLst>
        </xdr:cNvPr>
        <xdr:cNvPicPr>
          <a:picLocks noChangeAspect="1"/>
        </xdr:cNvPicPr>
      </xdr:nvPicPr>
      <xdr:blipFill>
        <a:blip xmlns:r="http://schemas.openxmlformats.org/officeDocument/2006/relationships" r:embed="rId18"/>
        <a:stretch>
          <a:fillRect/>
        </a:stretch>
      </xdr:blipFill>
      <xdr:spPr>
        <a:xfrm>
          <a:off x="2021596" y="2330591"/>
          <a:ext cx="914929" cy="851464"/>
        </a:xfrm>
        <a:prstGeom prst="round2DiagRect">
          <a:avLst>
            <a:gd name="adj1" fmla="val 380"/>
            <a:gd name="adj2" fmla="val 0"/>
          </a:avLst>
        </a:prstGeom>
        <a:ln w="12700" cap="sq">
          <a:noFill/>
          <a:miter lim="800000"/>
        </a:ln>
        <a:effectLst/>
      </xdr:spPr>
    </xdr:pic>
    <xdr:clientData/>
  </xdr:twoCellAnchor>
  <xdr:twoCellAnchor editAs="oneCell">
    <xdr:from>
      <xdr:col>1</xdr:col>
      <xdr:colOff>0</xdr:colOff>
      <xdr:row>21</xdr:row>
      <xdr:rowOff>119945</xdr:rowOff>
    </xdr:from>
    <xdr:to>
      <xdr:col>1</xdr:col>
      <xdr:colOff>1125683</xdr:colOff>
      <xdr:row>25</xdr:row>
      <xdr:rowOff>93684</xdr:rowOff>
    </xdr:to>
    <xdr:pic>
      <xdr:nvPicPr>
        <xdr:cNvPr id="33" name="Picture 32">
          <a:extLst>
            <a:ext uri="{FF2B5EF4-FFF2-40B4-BE49-F238E27FC236}">
              <a16:creationId xmlns:a16="http://schemas.microsoft.com/office/drawing/2014/main" id="{0ECFCB1F-BA5B-4E02-BA18-3A76A55DF267}"/>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1625" t="28491" r="23567" b="19553"/>
        <a:stretch/>
      </xdr:blipFill>
      <xdr:spPr>
        <a:xfrm>
          <a:off x="63500" y="4557889"/>
          <a:ext cx="1125683" cy="679295"/>
        </a:xfrm>
        <a:prstGeom prst="rect">
          <a:avLst/>
        </a:prstGeom>
      </xdr:spPr>
    </xdr:pic>
    <xdr:clientData/>
  </xdr:twoCellAnchor>
  <xdr:twoCellAnchor editAs="oneCell">
    <xdr:from>
      <xdr:col>1</xdr:col>
      <xdr:colOff>27033</xdr:colOff>
      <xdr:row>44</xdr:row>
      <xdr:rowOff>35276</xdr:rowOff>
    </xdr:from>
    <xdr:to>
      <xdr:col>1</xdr:col>
      <xdr:colOff>893490</xdr:colOff>
      <xdr:row>47</xdr:row>
      <xdr:rowOff>159390</xdr:rowOff>
    </xdr:to>
    <xdr:pic>
      <xdr:nvPicPr>
        <xdr:cNvPr id="34" name="Picture 33">
          <a:extLst>
            <a:ext uri="{FF2B5EF4-FFF2-40B4-BE49-F238E27FC236}">
              <a16:creationId xmlns:a16="http://schemas.microsoft.com/office/drawing/2014/main" id="{911B6AEB-8021-4092-92F9-EDDF1BA5B5C4}"/>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21235" t="12293" r="20852" b="19015"/>
        <a:stretch/>
      </xdr:blipFill>
      <xdr:spPr>
        <a:xfrm>
          <a:off x="90533" y="8530165"/>
          <a:ext cx="866457" cy="653281"/>
        </a:xfrm>
        <a:prstGeom prst="rect">
          <a:avLst/>
        </a:prstGeom>
      </xdr:spPr>
    </xdr:pic>
    <xdr:clientData/>
  </xdr:twoCellAnchor>
  <xdr:twoCellAnchor>
    <xdr:from>
      <xdr:col>1</xdr:col>
      <xdr:colOff>980722</xdr:colOff>
      <xdr:row>44</xdr:row>
      <xdr:rowOff>70555</xdr:rowOff>
    </xdr:from>
    <xdr:to>
      <xdr:col>2</xdr:col>
      <xdr:colOff>7055</xdr:colOff>
      <xdr:row>48</xdr:row>
      <xdr:rowOff>105834</xdr:rowOff>
    </xdr:to>
    <xdr:sp macro="" textlink="">
      <xdr:nvSpPr>
        <xdr:cNvPr id="37" name="TextBox 36">
          <a:extLst>
            <a:ext uri="{FF2B5EF4-FFF2-40B4-BE49-F238E27FC236}">
              <a16:creationId xmlns:a16="http://schemas.microsoft.com/office/drawing/2014/main" id="{303BE96E-30A6-482E-88BE-01C3942776AC}"/>
            </a:ext>
          </a:extLst>
        </xdr:cNvPr>
        <xdr:cNvSpPr txBox="1"/>
      </xdr:nvSpPr>
      <xdr:spPr>
        <a:xfrm>
          <a:off x="1044222" y="8565444"/>
          <a:ext cx="832555" cy="740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a:t>
          </a:r>
          <a:r>
            <a:rPr lang="en-US" sz="1100" baseline="0">
              <a:solidFill>
                <a:schemeClr val="accent1"/>
              </a:solidFill>
            </a:rPr>
            <a:t> &amp; 3" Diameter</a:t>
          </a:r>
          <a:endParaRPr lang="en-US" sz="1100">
            <a:solidFill>
              <a:schemeClr val="accent1"/>
            </a:solidFill>
          </a:endParaRPr>
        </a:p>
      </xdr:txBody>
    </xdr:sp>
    <xdr:clientData/>
  </xdr:twoCellAnchor>
  <xdr:twoCellAnchor editAs="oneCell">
    <xdr:from>
      <xdr:col>1</xdr:col>
      <xdr:colOff>65759</xdr:colOff>
      <xdr:row>56</xdr:row>
      <xdr:rowOff>56445</xdr:rowOff>
    </xdr:from>
    <xdr:to>
      <xdr:col>1</xdr:col>
      <xdr:colOff>606778</xdr:colOff>
      <xdr:row>59</xdr:row>
      <xdr:rowOff>104191</xdr:rowOff>
    </xdr:to>
    <xdr:pic>
      <xdr:nvPicPr>
        <xdr:cNvPr id="38" name="Picture 37" descr="2811 6006 80 1000x1000">
          <a:extLst>
            <a:ext uri="{FF2B5EF4-FFF2-40B4-BE49-F238E27FC236}">
              <a16:creationId xmlns:a16="http://schemas.microsoft.com/office/drawing/2014/main" id="{4105AE38-7F97-459F-91B2-0B2B1D71555D}"/>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18965" t="17464" r="18907" b="12678"/>
        <a:stretch/>
      </xdr:blipFill>
      <xdr:spPr bwMode="auto">
        <a:xfrm>
          <a:off x="129259" y="10668001"/>
          <a:ext cx="541019" cy="57691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169334</xdr:colOff>
      <xdr:row>55</xdr:row>
      <xdr:rowOff>98778</xdr:rowOff>
    </xdr:from>
    <xdr:to>
      <xdr:col>2</xdr:col>
      <xdr:colOff>974629</xdr:colOff>
      <xdr:row>61</xdr:row>
      <xdr:rowOff>95250</xdr:rowOff>
    </xdr:to>
    <xdr:pic>
      <xdr:nvPicPr>
        <xdr:cNvPr id="39" name="Picture 38">
          <a:extLst>
            <a:ext uri="{FF2B5EF4-FFF2-40B4-BE49-F238E27FC236}">
              <a16:creationId xmlns:a16="http://schemas.microsoft.com/office/drawing/2014/main" id="{CE0277EA-3532-4724-854D-D5039C1ECDD6}"/>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31102" t="14674" r="32184" b="7869"/>
        <a:stretch/>
      </xdr:blipFill>
      <xdr:spPr>
        <a:xfrm>
          <a:off x="2039056" y="10533945"/>
          <a:ext cx="805295" cy="1066315"/>
        </a:xfrm>
        <a:prstGeom prst="rect">
          <a:avLst/>
        </a:prstGeom>
      </xdr:spPr>
    </xdr:pic>
    <xdr:clientData/>
  </xdr:twoCellAnchor>
  <xdr:twoCellAnchor>
    <xdr:from>
      <xdr:col>1</xdr:col>
      <xdr:colOff>1175456</xdr:colOff>
      <xdr:row>57</xdr:row>
      <xdr:rowOff>76198</xdr:rowOff>
    </xdr:from>
    <xdr:to>
      <xdr:col>2</xdr:col>
      <xdr:colOff>201789</xdr:colOff>
      <xdr:row>63</xdr:row>
      <xdr:rowOff>97365</xdr:rowOff>
    </xdr:to>
    <xdr:sp macro="" textlink="">
      <xdr:nvSpPr>
        <xdr:cNvPr id="43" name="TextBox 42">
          <a:extLst>
            <a:ext uri="{FF2B5EF4-FFF2-40B4-BE49-F238E27FC236}">
              <a16:creationId xmlns:a16="http://schemas.microsoft.com/office/drawing/2014/main" id="{02CE32D7-54FF-4C0C-BDC9-49814B49B01C}"/>
            </a:ext>
          </a:extLst>
        </xdr:cNvPr>
        <xdr:cNvSpPr txBox="1"/>
      </xdr:nvSpPr>
      <xdr:spPr>
        <a:xfrm>
          <a:off x="1238956" y="10769598"/>
          <a:ext cx="829733" cy="726017"/>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PM Series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2 1/2" &amp; 3" Diameter</a:t>
          </a:r>
        </a:p>
      </xdr:txBody>
    </xdr:sp>
    <xdr:clientData/>
  </xdr:twoCellAnchor>
  <xdr:oneCellAnchor>
    <xdr:from>
      <xdr:col>2</xdr:col>
      <xdr:colOff>896056</xdr:colOff>
      <xdr:row>57</xdr:row>
      <xdr:rowOff>35279</xdr:rowOff>
    </xdr:from>
    <xdr:ext cx="726722" cy="436786"/>
    <xdr:sp macro="" textlink="">
      <xdr:nvSpPr>
        <xdr:cNvPr id="51" name="TextBox 50">
          <a:extLst>
            <a:ext uri="{FF2B5EF4-FFF2-40B4-BE49-F238E27FC236}">
              <a16:creationId xmlns:a16="http://schemas.microsoft.com/office/drawing/2014/main" id="{E1A6100C-4987-4C4F-BCA4-C190523BBC3D}"/>
            </a:ext>
          </a:extLst>
        </xdr:cNvPr>
        <xdr:cNvSpPr txBox="1"/>
      </xdr:nvSpPr>
      <xdr:spPr>
        <a:xfrm>
          <a:off x="2762956" y="10728679"/>
          <a:ext cx="726722" cy="436786"/>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a:t>
          </a:r>
        </a:p>
      </xdr:txBody>
    </xdr:sp>
    <xdr:clientData/>
  </xdr:oneCellAnchor>
  <xdr:twoCellAnchor editAs="oneCell">
    <xdr:from>
      <xdr:col>1</xdr:col>
      <xdr:colOff>39737</xdr:colOff>
      <xdr:row>8</xdr:row>
      <xdr:rowOff>112889</xdr:rowOff>
    </xdr:from>
    <xdr:to>
      <xdr:col>1</xdr:col>
      <xdr:colOff>1230690</xdr:colOff>
      <xdr:row>13</xdr:row>
      <xdr:rowOff>54340</xdr:rowOff>
    </xdr:to>
    <xdr:pic>
      <xdr:nvPicPr>
        <xdr:cNvPr id="40" name="Picture 39">
          <a:extLst>
            <a:ext uri="{FF2B5EF4-FFF2-40B4-BE49-F238E27FC236}">
              <a16:creationId xmlns:a16="http://schemas.microsoft.com/office/drawing/2014/main" id="{8823D2EF-772A-4929-A7F1-43795ED7AF03}"/>
            </a:ext>
          </a:extLst>
        </xdr:cNvPr>
        <xdr:cNvPicPr>
          <a:picLocks noChangeAspect="1"/>
        </xdr:cNvPicPr>
      </xdr:nvPicPr>
      <xdr:blipFill>
        <a:blip xmlns:r="http://schemas.openxmlformats.org/officeDocument/2006/relationships" r:embed="rId23"/>
        <a:stretch>
          <a:fillRect/>
        </a:stretch>
      </xdr:blipFill>
      <xdr:spPr>
        <a:xfrm>
          <a:off x="103237" y="2094089"/>
          <a:ext cx="1184603" cy="830451"/>
        </a:xfrm>
        <a:prstGeom prst="rect">
          <a:avLst/>
        </a:prstGeom>
      </xdr:spPr>
    </xdr:pic>
    <xdr:clientData/>
  </xdr:twoCellAnchor>
  <xdr:twoCellAnchor>
    <xdr:from>
      <xdr:col>1</xdr:col>
      <xdr:colOff>268111</xdr:colOff>
      <xdr:row>35</xdr:row>
      <xdr:rowOff>63500</xdr:rowOff>
    </xdr:from>
    <xdr:to>
      <xdr:col>1</xdr:col>
      <xdr:colOff>1100666</xdr:colOff>
      <xdr:row>38</xdr:row>
      <xdr:rowOff>167922</xdr:rowOff>
    </xdr:to>
    <xdr:sp macro="" textlink="">
      <xdr:nvSpPr>
        <xdr:cNvPr id="50" name="TextBox 49">
          <a:extLst>
            <a:ext uri="{FF2B5EF4-FFF2-40B4-BE49-F238E27FC236}">
              <a16:creationId xmlns:a16="http://schemas.microsoft.com/office/drawing/2014/main" id="{802F4330-D4A5-466E-9285-8EBFD9DB1C3F}"/>
            </a:ext>
          </a:extLst>
        </xdr:cNvPr>
        <xdr:cNvSpPr txBox="1"/>
      </xdr:nvSpPr>
      <xdr:spPr>
        <a:xfrm>
          <a:off x="331611" y="6970889"/>
          <a:ext cx="832555" cy="6335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a:t>
          </a:r>
          <a:r>
            <a:rPr lang="en-US" sz="1100" baseline="0">
              <a:solidFill>
                <a:schemeClr val="accent1"/>
              </a:solidFill>
            </a:rPr>
            <a:t> &amp; 3" Diameter</a:t>
          </a:r>
          <a:endParaRPr lang="en-US" sz="1100">
            <a:solidFill>
              <a:schemeClr val="accent1"/>
            </a:solidFill>
          </a:endParaRPr>
        </a:p>
      </xdr:txBody>
    </xdr:sp>
    <xdr:clientData/>
  </xdr:twoCellAnchor>
  <xdr:twoCellAnchor editAs="oneCell">
    <xdr:from>
      <xdr:col>0</xdr:col>
      <xdr:colOff>7058</xdr:colOff>
      <xdr:row>44</xdr:row>
      <xdr:rowOff>28221</xdr:rowOff>
    </xdr:from>
    <xdr:to>
      <xdr:col>1</xdr:col>
      <xdr:colOff>769056</xdr:colOff>
      <xdr:row>47</xdr:row>
      <xdr:rowOff>134016</xdr:rowOff>
    </xdr:to>
    <xdr:pic>
      <xdr:nvPicPr>
        <xdr:cNvPr id="52" name="Picture 51">
          <a:extLst>
            <a:ext uri="{FF2B5EF4-FFF2-40B4-BE49-F238E27FC236}">
              <a16:creationId xmlns:a16="http://schemas.microsoft.com/office/drawing/2014/main" id="{02C01FED-5D5C-42C0-A2A4-39D3E7BC87D4}"/>
            </a:ext>
          </a:extLst>
        </xdr:cNvPr>
        <xdr:cNvPicPr>
          <a:picLocks noChangeAspect="1"/>
        </xdr:cNvPicPr>
      </xdr:nvPicPr>
      <xdr:blipFill>
        <a:blip xmlns:r="http://schemas.openxmlformats.org/officeDocument/2006/relationships" r:embed="rId24"/>
        <a:stretch>
          <a:fillRect/>
        </a:stretch>
      </xdr:blipFill>
      <xdr:spPr>
        <a:xfrm>
          <a:off x="7058" y="8523110"/>
          <a:ext cx="825498" cy="634962"/>
        </a:xfrm>
        <a:prstGeom prst="rect">
          <a:avLst/>
        </a:prstGeom>
      </xdr:spPr>
    </xdr:pic>
    <xdr:clientData/>
  </xdr:twoCellAnchor>
  <xdr:twoCellAnchor editAs="oneCell">
    <xdr:from>
      <xdr:col>1</xdr:col>
      <xdr:colOff>49390</xdr:colOff>
      <xdr:row>21</xdr:row>
      <xdr:rowOff>162983</xdr:rowOff>
    </xdr:from>
    <xdr:to>
      <xdr:col>1</xdr:col>
      <xdr:colOff>1181081</xdr:colOff>
      <xdr:row>25</xdr:row>
      <xdr:rowOff>49389</xdr:rowOff>
    </xdr:to>
    <xdr:pic>
      <xdr:nvPicPr>
        <xdr:cNvPr id="44" name="Picture 43">
          <a:extLst>
            <a:ext uri="{FF2B5EF4-FFF2-40B4-BE49-F238E27FC236}">
              <a16:creationId xmlns:a16="http://schemas.microsoft.com/office/drawing/2014/main" id="{9A14A4FE-6CB1-41A9-A37E-ACC8DBEF355C}"/>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9143" t="27000" r="9571" b="28857"/>
        <a:stretch/>
      </xdr:blipFill>
      <xdr:spPr>
        <a:xfrm>
          <a:off x="112890" y="4455583"/>
          <a:ext cx="1131691" cy="591256"/>
        </a:xfrm>
        <a:prstGeom prst="rect">
          <a:avLst/>
        </a:prstGeom>
      </xdr:spPr>
    </xdr:pic>
    <xdr:clientData/>
  </xdr:twoCellAnchor>
  <xdr:twoCellAnchor editAs="oneCell">
    <xdr:from>
      <xdr:col>0</xdr:col>
      <xdr:colOff>35280</xdr:colOff>
      <xdr:row>44</xdr:row>
      <xdr:rowOff>34305</xdr:rowOff>
    </xdr:from>
    <xdr:to>
      <xdr:col>1</xdr:col>
      <xdr:colOff>943412</xdr:colOff>
      <xdr:row>47</xdr:row>
      <xdr:rowOff>134055</xdr:rowOff>
    </xdr:to>
    <xdr:pic>
      <xdr:nvPicPr>
        <xdr:cNvPr id="46" name="Picture 45">
          <a:extLst>
            <a:ext uri="{FF2B5EF4-FFF2-40B4-BE49-F238E27FC236}">
              <a16:creationId xmlns:a16="http://schemas.microsoft.com/office/drawing/2014/main" id="{66961810-34DE-414C-AD08-BF0B5E423979}"/>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3119" t="24516" r="10753" b="23226"/>
        <a:stretch/>
      </xdr:blipFill>
      <xdr:spPr>
        <a:xfrm>
          <a:off x="35280" y="8529194"/>
          <a:ext cx="965282" cy="628917"/>
        </a:xfrm>
        <a:prstGeom prst="rect">
          <a:avLst/>
        </a:prstGeom>
      </xdr:spPr>
    </xdr:pic>
    <xdr:clientData/>
  </xdr:twoCellAnchor>
  <xdr:twoCellAnchor editAs="oneCell">
    <xdr:from>
      <xdr:col>1</xdr:col>
      <xdr:colOff>170039</xdr:colOff>
      <xdr:row>31</xdr:row>
      <xdr:rowOff>171452</xdr:rowOff>
    </xdr:from>
    <xdr:to>
      <xdr:col>1</xdr:col>
      <xdr:colOff>1259767</xdr:colOff>
      <xdr:row>35</xdr:row>
      <xdr:rowOff>82629</xdr:rowOff>
    </xdr:to>
    <xdr:pic>
      <xdr:nvPicPr>
        <xdr:cNvPr id="54" name="Picture 53">
          <a:extLst>
            <a:ext uri="{FF2B5EF4-FFF2-40B4-BE49-F238E27FC236}">
              <a16:creationId xmlns:a16="http://schemas.microsoft.com/office/drawing/2014/main" id="{5C327C98-67A9-4F79-BC5A-D93A6197281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14000" t="27286" r="12857" b="28571"/>
        <a:stretch/>
      </xdr:blipFill>
      <xdr:spPr>
        <a:xfrm>
          <a:off x="233539" y="6242052"/>
          <a:ext cx="1089728" cy="628727"/>
        </a:xfrm>
        <a:prstGeom prst="rect">
          <a:avLst/>
        </a:prstGeom>
      </xdr:spPr>
    </xdr:pic>
    <xdr:clientData/>
  </xdr:twoCellAnchor>
  <xdr:twoCellAnchor editAs="oneCell">
    <xdr:from>
      <xdr:col>1</xdr:col>
      <xdr:colOff>49389</xdr:colOff>
      <xdr:row>56</xdr:row>
      <xdr:rowOff>98072</xdr:rowOff>
    </xdr:from>
    <xdr:to>
      <xdr:col>1</xdr:col>
      <xdr:colOff>1178531</xdr:colOff>
      <xdr:row>61</xdr:row>
      <xdr:rowOff>29633</xdr:rowOff>
    </xdr:to>
    <xdr:pic>
      <xdr:nvPicPr>
        <xdr:cNvPr id="57" name="Picture 56">
          <a:extLst>
            <a:ext uri="{FF2B5EF4-FFF2-40B4-BE49-F238E27FC236}">
              <a16:creationId xmlns:a16="http://schemas.microsoft.com/office/drawing/2014/main" id="{5EED10B0-FDCB-4551-842B-0EA0B354144C}"/>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9714" t="26857" r="19143" b="26143"/>
        <a:stretch/>
      </xdr:blipFill>
      <xdr:spPr>
        <a:xfrm>
          <a:off x="112889" y="10613672"/>
          <a:ext cx="1129142" cy="8078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49390</xdr:colOff>
      <xdr:row>26</xdr:row>
      <xdr:rowOff>59463</xdr:rowOff>
    </xdr:from>
    <xdr:to>
      <xdr:col>2</xdr:col>
      <xdr:colOff>1435453</xdr:colOff>
      <xdr:row>32</xdr:row>
      <xdr:rowOff>149990</xdr:rowOff>
    </xdr:to>
    <xdr:pic>
      <xdr:nvPicPr>
        <xdr:cNvPr id="26" name="Picture 25">
          <a:extLst>
            <a:ext uri="{FF2B5EF4-FFF2-40B4-BE49-F238E27FC236}">
              <a16:creationId xmlns:a16="http://schemas.microsoft.com/office/drawing/2014/main" id="{17A4D2CD-AC2F-4BC8-B91A-A7CC30BF8B6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450" t="24076" r="22730" b="9939"/>
        <a:stretch/>
      </xdr:blipFill>
      <xdr:spPr>
        <a:xfrm>
          <a:off x="1919112" y="5210019"/>
          <a:ext cx="1382888" cy="1148860"/>
        </a:xfrm>
        <a:prstGeom prst="rect">
          <a:avLst/>
        </a:prstGeom>
      </xdr:spPr>
    </xdr:pic>
    <xdr:clientData/>
  </xdr:twoCellAnchor>
  <xdr:twoCellAnchor editAs="oneCell">
    <xdr:from>
      <xdr:col>2</xdr:col>
      <xdr:colOff>131232</xdr:colOff>
      <xdr:row>14</xdr:row>
      <xdr:rowOff>41205</xdr:rowOff>
    </xdr:from>
    <xdr:to>
      <xdr:col>2</xdr:col>
      <xdr:colOff>1743075</xdr:colOff>
      <xdr:row>19</xdr:row>
      <xdr:rowOff>136032</xdr:rowOff>
    </xdr:to>
    <xdr:pic>
      <xdr:nvPicPr>
        <xdr:cNvPr id="14" name="Picture 13" descr="Reducing Tee PF Large.jpg">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2" cstate="email"/>
        <a:srcRect/>
        <a:stretch>
          <a:fillRect/>
        </a:stretch>
      </xdr:blipFill>
      <xdr:spPr>
        <a:xfrm>
          <a:off x="2000954" y="3075094"/>
          <a:ext cx="1608668" cy="976771"/>
        </a:xfrm>
        <a:prstGeom prst="rect">
          <a:avLst/>
        </a:prstGeom>
      </xdr:spPr>
    </xdr:pic>
    <xdr:clientData/>
  </xdr:twoCellAnchor>
  <xdr:twoCellAnchor editAs="oneCell">
    <xdr:from>
      <xdr:col>2</xdr:col>
      <xdr:colOff>83820</xdr:colOff>
      <xdr:row>35</xdr:row>
      <xdr:rowOff>0</xdr:rowOff>
    </xdr:from>
    <xdr:to>
      <xdr:col>2</xdr:col>
      <xdr:colOff>1664759</xdr:colOff>
      <xdr:row>40</xdr:row>
      <xdr:rowOff>88265</xdr:rowOff>
    </xdr:to>
    <xdr:pic>
      <xdr:nvPicPr>
        <xdr:cNvPr id="16" name="Picture 15" descr="Reducing Tee PF Threaded Large.jpg">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3" cstate="email"/>
        <a:srcRect/>
        <a:stretch>
          <a:fillRect/>
        </a:stretch>
      </xdr:blipFill>
      <xdr:spPr>
        <a:xfrm>
          <a:off x="1953542" y="6914444"/>
          <a:ext cx="1584114" cy="973384"/>
        </a:xfrm>
        <a:prstGeom prst="rect">
          <a:avLst/>
        </a:prstGeom>
      </xdr:spPr>
    </xdr:pic>
    <xdr:clientData/>
  </xdr:twoCellAnchor>
  <xdr:twoCellAnchor editAs="oneCell">
    <xdr:from>
      <xdr:col>2</xdr:col>
      <xdr:colOff>215474</xdr:colOff>
      <xdr:row>43</xdr:row>
      <xdr:rowOff>30992</xdr:rowOff>
    </xdr:from>
    <xdr:to>
      <xdr:col>2</xdr:col>
      <xdr:colOff>1507771</xdr:colOff>
      <xdr:row>47</xdr:row>
      <xdr:rowOff>163336</xdr:rowOff>
    </xdr:to>
    <xdr:pic>
      <xdr:nvPicPr>
        <xdr:cNvPr id="18" name="Picture 17" descr="Reducing Tee 6 inch to 1 inch threaded.jpg">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4" cstate="email"/>
        <a:srcRect/>
        <a:stretch>
          <a:fillRect/>
        </a:stretch>
      </xdr:blipFill>
      <xdr:spPr>
        <a:xfrm>
          <a:off x="2082374" y="8438392"/>
          <a:ext cx="1292297" cy="837194"/>
        </a:xfrm>
        <a:prstGeom prst="rect">
          <a:avLst/>
        </a:prstGeom>
      </xdr:spPr>
    </xdr:pic>
    <xdr:clientData/>
  </xdr:twoCellAnchor>
  <xdr:twoCellAnchor>
    <xdr:from>
      <xdr:col>1</xdr:col>
      <xdr:colOff>24553</xdr:colOff>
      <xdr:row>0</xdr:row>
      <xdr:rowOff>203479</xdr:rowOff>
    </xdr:from>
    <xdr:to>
      <xdr:col>2</xdr:col>
      <xdr:colOff>1630680</xdr:colOff>
      <xdr:row>0</xdr:row>
      <xdr:rowOff>477799</xdr:rowOff>
    </xdr:to>
    <xdr:grpSp>
      <xdr:nvGrpSpPr>
        <xdr:cNvPr id="19" name="Group 18">
          <a:extLst>
            <a:ext uri="{FF2B5EF4-FFF2-40B4-BE49-F238E27FC236}">
              <a16:creationId xmlns:a16="http://schemas.microsoft.com/office/drawing/2014/main" id="{00000000-0008-0000-0600-000013000000}"/>
            </a:ext>
          </a:extLst>
        </xdr:cNvPr>
        <xdr:cNvGrpSpPr/>
      </xdr:nvGrpSpPr>
      <xdr:grpSpPr>
        <a:xfrm>
          <a:off x="94403" y="200304"/>
          <a:ext cx="3400002" cy="277495"/>
          <a:chOff x="83820" y="203480"/>
          <a:chExt cx="3375660" cy="274320"/>
        </a:xfrm>
      </xdr:grpSpPr>
      <xdr:sp macro="" textlink="">
        <xdr:nvSpPr>
          <xdr:cNvPr id="21" name="TextBox 20">
            <a:hlinkClick xmlns:r="http://schemas.openxmlformats.org/officeDocument/2006/relationships" r:id="rId5" tooltip="Return to Menu"/>
            <a:extLst>
              <a:ext uri="{FF2B5EF4-FFF2-40B4-BE49-F238E27FC236}">
                <a16:creationId xmlns:a16="http://schemas.microsoft.com/office/drawing/2014/main" id="{00000000-0008-0000-0600-000015000000}"/>
              </a:ext>
            </a:extLst>
          </xdr:cNvPr>
          <xdr:cNvSpPr txBox="1"/>
        </xdr:nvSpPr>
        <xdr:spPr>
          <a:xfrm>
            <a:off x="8382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2" name="TextBox 21">
            <a:hlinkClick xmlns:r="http://schemas.openxmlformats.org/officeDocument/2006/relationships" r:id="rId6" tooltip="Go to Bill of Materials"/>
            <a:extLst>
              <a:ext uri="{FF2B5EF4-FFF2-40B4-BE49-F238E27FC236}">
                <a16:creationId xmlns:a16="http://schemas.microsoft.com/office/drawing/2014/main" id="{00000000-0008-0000-0600-000016000000}"/>
              </a:ext>
            </a:extLst>
          </xdr:cNvPr>
          <xdr:cNvSpPr txBox="1"/>
        </xdr:nvSpPr>
        <xdr:spPr>
          <a:xfrm>
            <a:off x="185928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7</xdr:col>
      <xdr:colOff>224366</xdr:colOff>
      <xdr:row>53</xdr:row>
      <xdr:rowOff>143933</xdr:rowOff>
    </xdr:from>
    <xdr:to>
      <xdr:col>10</xdr:col>
      <xdr:colOff>215899</xdr:colOff>
      <xdr:row>55</xdr:row>
      <xdr:rowOff>45719</xdr:rowOff>
    </xdr:to>
    <xdr:sp macro="" textlink="">
      <xdr:nvSpPr>
        <xdr:cNvPr id="23" name="TextBox 22">
          <a:hlinkClick xmlns:r="http://schemas.openxmlformats.org/officeDocument/2006/relationships" r:id="rId7" tooltip="Return to Top of Page"/>
          <a:extLst>
            <a:ext uri="{FF2B5EF4-FFF2-40B4-BE49-F238E27FC236}">
              <a16:creationId xmlns:a16="http://schemas.microsoft.com/office/drawing/2014/main" id="{00000000-0008-0000-0600-000017000000}"/>
            </a:ext>
          </a:extLst>
        </xdr:cNvPr>
        <xdr:cNvSpPr txBox="1"/>
      </xdr:nvSpPr>
      <xdr:spPr>
        <a:xfrm>
          <a:off x="9086144" y="9189155"/>
          <a:ext cx="1642533" cy="254564"/>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2</xdr:col>
      <xdr:colOff>541867</xdr:colOff>
      <xdr:row>3</xdr:row>
      <xdr:rowOff>1297</xdr:rowOff>
    </xdr:from>
    <xdr:to>
      <xdr:col>2</xdr:col>
      <xdr:colOff>869393</xdr:colOff>
      <xdr:row>6</xdr:row>
      <xdr:rowOff>130675</xdr:rowOff>
    </xdr:to>
    <xdr:pic>
      <xdr:nvPicPr>
        <xdr:cNvPr id="24" name="Picture 23" descr="Reducing Union PF 1.jpg">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8" cstate="email"/>
        <a:srcRect/>
        <a:stretch>
          <a:fillRect/>
        </a:stretch>
      </xdr:blipFill>
      <xdr:spPr>
        <a:xfrm>
          <a:off x="2370667" y="1101964"/>
          <a:ext cx="330701" cy="688178"/>
        </a:xfrm>
        <a:prstGeom prst="rect">
          <a:avLst/>
        </a:prstGeom>
      </xdr:spPr>
    </xdr:pic>
    <xdr:clientData/>
  </xdr:twoCellAnchor>
  <xdr:twoCellAnchor editAs="oneCell">
    <xdr:from>
      <xdr:col>1</xdr:col>
      <xdr:colOff>299488</xdr:colOff>
      <xdr:row>38</xdr:row>
      <xdr:rowOff>21168</xdr:rowOff>
    </xdr:from>
    <xdr:to>
      <xdr:col>1</xdr:col>
      <xdr:colOff>1400881</xdr:colOff>
      <xdr:row>40</xdr:row>
      <xdr:rowOff>145400</xdr:rowOff>
    </xdr:to>
    <xdr:pic>
      <xdr:nvPicPr>
        <xdr:cNvPr id="2049" name="Picture 1">
          <a:hlinkClick xmlns:r="http://schemas.openxmlformats.org/officeDocument/2006/relationships" r:id="rId9"/>
          <a:extLst>
            <a:ext uri="{FF2B5EF4-FFF2-40B4-BE49-F238E27FC236}">
              <a16:creationId xmlns:a16="http://schemas.microsoft.com/office/drawing/2014/main" id="{00000000-0008-0000-0600-00000108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62988" y="6935612"/>
          <a:ext cx="1104568" cy="473835"/>
        </a:xfrm>
        <a:prstGeom prst="rect">
          <a:avLst/>
        </a:prstGeom>
        <a:noFill/>
        <a:ln w="1">
          <a:noFill/>
          <a:miter lim="800000"/>
          <a:headEnd/>
          <a:tailEnd type="none" w="med" len="med"/>
        </a:ln>
        <a:effectLst/>
      </xdr:spPr>
    </xdr:pic>
    <xdr:clientData/>
  </xdr:twoCellAnchor>
  <xdr:twoCellAnchor>
    <xdr:from>
      <xdr:col>1</xdr:col>
      <xdr:colOff>1210029</xdr:colOff>
      <xdr:row>43</xdr:row>
      <xdr:rowOff>171450</xdr:rowOff>
    </xdr:from>
    <xdr:to>
      <xdr:col>2</xdr:col>
      <xdr:colOff>243417</xdr:colOff>
      <xdr:row>47</xdr:row>
      <xdr:rowOff>134760</xdr:rowOff>
    </xdr:to>
    <xdr:sp macro="" textlink="">
      <xdr:nvSpPr>
        <xdr:cNvPr id="2" name="TextBox 1">
          <a:extLst>
            <a:ext uri="{FF2B5EF4-FFF2-40B4-BE49-F238E27FC236}">
              <a16:creationId xmlns:a16="http://schemas.microsoft.com/office/drawing/2014/main" id="{E5331995-DFD9-4F2C-9C81-A457DC66C6AE}"/>
            </a:ext>
          </a:extLst>
        </xdr:cNvPr>
        <xdr:cNvSpPr txBox="1"/>
      </xdr:nvSpPr>
      <xdr:spPr>
        <a:xfrm>
          <a:off x="1273529" y="8578850"/>
          <a:ext cx="836788" cy="6745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2 1/2" &amp; 3" Diameter shown</a:t>
          </a:r>
        </a:p>
      </xdr:txBody>
    </xdr:sp>
    <xdr:clientData/>
  </xdr:twoCellAnchor>
  <xdr:twoCellAnchor>
    <xdr:from>
      <xdr:col>2</xdr:col>
      <xdr:colOff>1397001</xdr:colOff>
      <xdr:row>44</xdr:row>
      <xdr:rowOff>14109</xdr:rowOff>
    </xdr:from>
    <xdr:to>
      <xdr:col>2</xdr:col>
      <xdr:colOff>2137834</xdr:colOff>
      <xdr:row>47</xdr:row>
      <xdr:rowOff>91721</xdr:rowOff>
    </xdr:to>
    <xdr:sp macro="" textlink="">
      <xdr:nvSpPr>
        <xdr:cNvPr id="3" name="TextBox 2">
          <a:extLst>
            <a:ext uri="{FF2B5EF4-FFF2-40B4-BE49-F238E27FC236}">
              <a16:creationId xmlns:a16="http://schemas.microsoft.com/office/drawing/2014/main" id="{4991D68B-E9EA-4EDD-8633-E69D810778D2}"/>
            </a:ext>
          </a:extLst>
        </xdr:cNvPr>
        <xdr:cNvSpPr txBox="1"/>
      </xdr:nvSpPr>
      <xdr:spPr>
        <a:xfrm>
          <a:off x="3266723" y="9242776"/>
          <a:ext cx="740833" cy="6067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4" &amp; 6" Diameter shown</a:t>
          </a:r>
        </a:p>
      </xdr:txBody>
    </xdr:sp>
    <xdr:clientData/>
  </xdr:twoCellAnchor>
  <xdr:twoCellAnchor>
    <xdr:from>
      <xdr:col>1</xdr:col>
      <xdr:colOff>70555</xdr:colOff>
      <xdr:row>49</xdr:row>
      <xdr:rowOff>707</xdr:rowOff>
    </xdr:from>
    <xdr:to>
      <xdr:col>1</xdr:col>
      <xdr:colOff>1326444</xdr:colOff>
      <xdr:row>55</xdr:row>
      <xdr:rowOff>21167</xdr:rowOff>
    </xdr:to>
    <xdr:sp macro="" textlink="">
      <xdr:nvSpPr>
        <xdr:cNvPr id="4" name="TextBox 3">
          <a:extLst>
            <a:ext uri="{FF2B5EF4-FFF2-40B4-BE49-F238E27FC236}">
              <a16:creationId xmlns:a16="http://schemas.microsoft.com/office/drawing/2014/main" id="{9BBB4F84-0B20-45B7-AD8F-B391972CDC7A}"/>
            </a:ext>
          </a:extLst>
        </xdr:cNvPr>
        <xdr:cNvSpPr txBox="1"/>
      </xdr:nvSpPr>
      <xdr:spPr>
        <a:xfrm>
          <a:off x="134055" y="9596263"/>
          <a:ext cx="1255889" cy="10929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Left</a:t>
          </a:r>
          <a:r>
            <a:rPr lang="en-US" sz="1100" baseline="0">
              <a:solidFill>
                <a:schemeClr val="accent1"/>
              </a:solidFill>
            </a:rPr>
            <a:t> hand side of pipe adapter is same diameter as pipe - insert into PM Series fitting</a:t>
          </a:r>
          <a:endParaRPr lang="en-US" sz="1100">
            <a:solidFill>
              <a:schemeClr val="accent1"/>
            </a:solidFill>
          </a:endParaRPr>
        </a:p>
      </xdr:txBody>
    </xdr:sp>
    <xdr:clientData/>
  </xdr:twoCellAnchor>
  <xdr:twoCellAnchor>
    <xdr:from>
      <xdr:col>1</xdr:col>
      <xdr:colOff>1665114</xdr:colOff>
      <xdr:row>21</xdr:row>
      <xdr:rowOff>176388</xdr:rowOff>
    </xdr:from>
    <xdr:to>
      <xdr:col>2</xdr:col>
      <xdr:colOff>684392</xdr:colOff>
      <xdr:row>25</xdr:row>
      <xdr:rowOff>84664</xdr:rowOff>
    </xdr:to>
    <xdr:sp macro="" textlink="">
      <xdr:nvSpPr>
        <xdr:cNvPr id="5" name="TextBox 4">
          <a:extLst>
            <a:ext uri="{FF2B5EF4-FFF2-40B4-BE49-F238E27FC236}">
              <a16:creationId xmlns:a16="http://schemas.microsoft.com/office/drawing/2014/main" id="{24B0B41C-403B-444F-8731-E6321CD43C3A}"/>
            </a:ext>
          </a:extLst>
        </xdr:cNvPr>
        <xdr:cNvSpPr txBox="1"/>
      </xdr:nvSpPr>
      <xdr:spPr>
        <a:xfrm>
          <a:off x="1728614" y="4444999"/>
          <a:ext cx="825500" cy="6138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2 1/2" &amp; 3"</a:t>
          </a:r>
          <a:r>
            <a:rPr lang="en-US" sz="1100" baseline="0">
              <a:solidFill>
                <a:schemeClr val="accent1"/>
              </a:solidFill>
            </a:rPr>
            <a:t> Diameter shown</a:t>
          </a:r>
          <a:endParaRPr lang="en-US" sz="1100">
            <a:solidFill>
              <a:schemeClr val="accent1"/>
            </a:solidFill>
          </a:endParaRPr>
        </a:p>
      </xdr:txBody>
    </xdr:sp>
    <xdr:clientData/>
  </xdr:twoCellAnchor>
  <xdr:twoCellAnchor>
    <xdr:from>
      <xdr:col>1</xdr:col>
      <xdr:colOff>1340556</xdr:colOff>
      <xdr:row>8</xdr:row>
      <xdr:rowOff>105832</xdr:rowOff>
    </xdr:from>
    <xdr:to>
      <xdr:col>2</xdr:col>
      <xdr:colOff>366889</xdr:colOff>
      <xdr:row>12</xdr:row>
      <xdr:rowOff>105833</xdr:rowOff>
    </xdr:to>
    <xdr:sp macro="" textlink="">
      <xdr:nvSpPr>
        <xdr:cNvPr id="6" name="TextBox 5">
          <a:extLst>
            <a:ext uri="{FF2B5EF4-FFF2-40B4-BE49-F238E27FC236}">
              <a16:creationId xmlns:a16="http://schemas.microsoft.com/office/drawing/2014/main" id="{6CE486EC-CAEE-4608-90C7-8AAB3180522C}"/>
            </a:ext>
          </a:extLst>
        </xdr:cNvPr>
        <xdr:cNvSpPr txBox="1"/>
      </xdr:nvSpPr>
      <xdr:spPr>
        <a:xfrm>
          <a:off x="1404056" y="2081388"/>
          <a:ext cx="832555" cy="705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2 1/2" &amp; 3" Diameter shown</a:t>
          </a:r>
        </a:p>
      </xdr:txBody>
    </xdr:sp>
    <xdr:clientData/>
  </xdr:twoCellAnchor>
  <xdr:twoCellAnchor>
    <xdr:from>
      <xdr:col>2</xdr:col>
      <xdr:colOff>1241776</xdr:colOff>
      <xdr:row>30</xdr:row>
      <xdr:rowOff>7054</xdr:rowOff>
    </xdr:from>
    <xdr:to>
      <xdr:col>2</xdr:col>
      <xdr:colOff>1975555</xdr:colOff>
      <xdr:row>33</xdr:row>
      <xdr:rowOff>105833</xdr:rowOff>
    </xdr:to>
    <xdr:sp macro="" textlink="">
      <xdr:nvSpPr>
        <xdr:cNvPr id="28" name="TextBox 27">
          <a:extLst>
            <a:ext uri="{FF2B5EF4-FFF2-40B4-BE49-F238E27FC236}">
              <a16:creationId xmlns:a16="http://schemas.microsoft.com/office/drawing/2014/main" id="{618E5789-AFD3-4CBF-BE51-F62592BAEB67}"/>
            </a:ext>
          </a:extLst>
        </xdr:cNvPr>
        <xdr:cNvSpPr txBox="1"/>
      </xdr:nvSpPr>
      <xdr:spPr>
        <a:xfrm>
          <a:off x="3111498" y="5863165"/>
          <a:ext cx="733779" cy="62794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 shown</a:t>
          </a:r>
        </a:p>
      </xdr:txBody>
    </xdr:sp>
    <xdr:clientData/>
  </xdr:twoCellAnchor>
  <xdr:twoCellAnchor editAs="oneCell">
    <xdr:from>
      <xdr:col>2</xdr:col>
      <xdr:colOff>1606517</xdr:colOff>
      <xdr:row>8</xdr:row>
      <xdr:rowOff>42334</xdr:rowOff>
    </xdr:from>
    <xdr:to>
      <xdr:col>2</xdr:col>
      <xdr:colOff>2103766</xdr:colOff>
      <xdr:row>12</xdr:row>
      <xdr:rowOff>88548</xdr:rowOff>
    </xdr:to>
    <xdr:pic>
      <xdr:nvPicPr>
        <xdr:cNvPr id="29" name="Picture 28">
          <a:extLst>
            <a:ext uri="{FF2B5EF4-FFF2-40B4-BE49-F238E27FC236}">
              <a16:creationId xmlns:a16="http://schemas.microsoft.com/office/drawing/2014/main" id="{21E3EA53-BA26-4EE0-B15E-CF328F4AE2D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1949" t="11983" r="34771" b="8134"/>
        <a:stretch/>
      </xdr:blipFill>
      <xdr:spPr>
        <a:xfrm>
          <a:off x="3476239" y="2017890"/>
          <a:ext cx="494074" cy="754944"/>
        </a:xfrm>
        <a:prstGeom prst="rect">
          <a:avLst/>
        </a:prstGeom>
      </xdr:spPr>
    </xdr:pic>
    <xdr:clientData/>
  </xdr:twoCellAnchor>
  <xdr:twoCellAnchor>
    <xdr:from>
      <xdr:col>2</xdr:col>
      <xdr:colOff>839611</xdr:colOff>
      <xdr:row>8</xdr:row>
      <xdr:rowOff>105833</xdr:rowOff>
    </xdr:from>
    <xdr:to>
      <xdr:col>2</xdr:col>
      <xdr:colOff>1587500</xdr:colOff>
      <xdr:row>12</xdr:row>
      <xdr:rowOff>7057</xdr:rowOff>
    </xdr:to>
    <xdr:sp macro="" textlink="">
      <xdr:nvSpPr>
        <xdr:cNvPr id="31" name="TextBox 30">
          <a:extLst>
            <a:ext uri="{FF2B5EF4-FFF2-40B4-BE49-F238E27FC236}">
              <a16:creationId xmlns:a16="http://schemas.microsoft.com/office/drawing/2014/main" id="{80A278E4-CACF-4EC6-B099-493754B852A9}"/>
            </a:ext>
          </a:extLst>
        </xdr:cNvPr>
        <xdr:cNvSpPr txBox="1"/>
      </xdr:nvSpPr>
      <xdr:spPr>
        <a:xfrm>
          <a:off x="2709333" y="2081389"/>
          <a:ext cx="747889" cy="60677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 shown</a:t>
          </a:r>
        </a:p>
      </xdr:txBody>
    </xdr:sp>
    <xdr:clientData/>
  </xdr:twoCellAnchor>
  <xdr:twoCellAnchor editAs="oneCell">
    <xdr:from>
      <xdr:col>1</xdr:col>
      <xdr:colOff>241300</xdr:colOff>
      <xdr:row>8</xdr:row>
      <xdr:rowOff>57150</xdr:rowOff>
    </xdr:from>
    <xdr:to>
      <xdr:col>1</xdr:col>
      <xdr:colOff>1324631</xdr:colOff>
      <xdr:row>12</xdr:row>
      <xdr:rowOff>63500</xdr:rowOff>
    </xdr:to>
    <xdr:pic>
      <xdr:nvPicPr>
        <xdr:cNvPr id="36" name="Picture 35">
          <a:extLst>
            <a:ext uri="{FF2B5EF4-FFF2-40B4-BE49-F238E27FC236}">
              <a16:creationId xmlns:a16="http://schemas.microsoft.com/office/drawing/2014/main" id="{321EA5DA-2D09-4B47-B169-6FF56167D009}"/>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0000" t="29286" r="19715" b="29142"/>
        <a:stretch/>
      </xdr:blipFill>
      <xdr:spPr>
        <a:xfrm>
          <a:off x="304800" y="2044700"/>
          <a:ext cx="1076981" cy="717550"/>
        </a:xfrm>
        <a:prstGeom prst="rect">
          <a:avLst/>
        </a:prstGeom>
      </xdr:spPr>
    </xdr:pic>
    <xdr:clientData/>
  </xdr:twoCellAnchor>
  <xdr:twoCellAnchor editAs="oneCell">
    <xdr:from>
      <xdr:col>1</xdr:col>
      <xdr:colOff>285750</xdr:colOff>
      <xdr:row>21</xdr:row>
      <xdr:rowOff>69850</xdr:rowOff>
    </xdr:from>
    <xdr:to>
      <xdr:col>1</xdr:col>
      <xdr:colOff>1562500</xdr:colOff>
      <xdr:row>26</xdr:row>
      <xdr:rowOff>6350</xdr:rowOff>
    </xdr:to>
    <xdr:pic>
      <xdr:nvPicPr>
        <xdr:cNvPr id="37" name="Picture 36">
          <a:extLst>
            <a:ext uri="{FF2B5EF4-FFF2-40B4-BE49-F238E27FC236}">
              <a16:creationId xmlns:a16="http://schemas.microsoft.com/office/drawing/2014/main" id="{C1B0CE6E-B112-4BF4-B751-CCB382BF1DE1}"/>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3119" t="24516" r="10753" b="23226"/>
        <a:stretch/>
      </xdr:blipFill>
      <xdr:spPr>
        <a:xfrm>
          <a:off x="349250" y="4368800"/>
          <a:ext cx="1276750" cy="831850"/>
        </a:xfrm>
        <a:prstGeom prst="rect">
          <a:avLst/>
        </a:prstGeom>
      </xdr:spPr>
    </xdr:pic>
    <xdr:clientData/>
  </xdr:twoCellAnchor>
  <xdr:twoCellAnchor editAs="oneCell">
    <xdr:from>
      <xdr:col>1</xdr:col>
      <xdr:colOff>19050</xdr:colOff>
      <xdr:row>43</xdr:row>
      <xdr:rowOff>88900</xdr:rowOff>
    </xdr:from>
    <xdr:to>
      <xdr:col>1</xdr:col>
      <xdr:colOff>1249014</xdr:colOff>
      <xdr:row>47</xdr:row>
      <xdr:rowOff>152400</xdr:rowOff>
    </xdr:to>
    <xdr:pic>
      <xdr:nvPicPr>
        <xdr:cNvPr id="40" name="Picture 39">
          <a:extLst>
            <a:ext uri="{FF2B5EF4-FFF2-40B4-BE49-F238E27FC236}">
              <a16:creationId xmlns:a16="http://schemas.microsoft.com/office/drawing/2014/main" id="{65C69052-5F54-4E9E-B783-874BF538FB8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3000" t="25000" r="9858" b="22285"/>
        <a:stretch/>
      </xdr:blipFill>
      <xdr:spPr>
        <a:xfrm>
          <a:off x="82550" y="8496300"/>
          <a:ext cx="1223614" cy="774700"/>
        </a:xfrm>
        <a:prstGeom prst="rect">
          <a:avLst/>
        </a:prstGeom>
      </xdr:spPr>
    </xdr:pic>
    <xdr:clientData/>
  </xdr:twoCellAnchor>
  <xdr:twoCellAnchor editAs="oneCell">
    <xdr:from>
      <xdr:col>2</xdr:col>
      <xdr:colOff>57150</xdr:colOff>
      <xdr:row>49</xdr:row>
      <xdr:rowOff>93512</xdr:rowOff>
    </xdr:from>
    <xdr:to>
      <xdr:col>2</xdr:col>
      <xdr:colOff>1971675</xdr:colOff>
      <xdr:row>54</xdr:row>
      <xdr:rowOff>173816</xdr:rowOff>
    </xdr:to>
    <xdr:pic>
      <xdr:nvPicPr>
        <xdr:cNvPr id="8" name="Picture 7">
          <a:extLst>
            <a:ext uri="{FF2B5EF4-FFF2-40B4-BE49-F238E27FC236}">
              <a16:creationId xmlns:a16="http://schemas.microsoft.com/office/drawing/2014/main" id="{4A50BCEE-5947-4823-B111-7A0D3761F51F}"/>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0142" t="36335" r="22714" b="27628"/>
        <a:stretch/>
      </xdr:blipFill>
      <xdr:spPr>
        <a:xfrm>
          <a:off x="1924050" y="9904262"/>
          <a:ext cx="1911350" cy="9851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1741169</xdr:colOff>
      <xdr:row>50</xdr:row>
      <xdr:rowOff>153521</xdr:rowOff>
    </xdr:from>
    <xdr:to>
      <xdr:col>2</xdr:col>
      <xdr:colOff>847557</xdr:colOff>
      <xdr:row>55</xdr:row>
      <xdr:rowOff>28078</xdr:rowOff>
    </xdr:to>
    <xdr:pic>
      <xdr:nvPicPr>
        <xdr:cNvPr id="23" name="Picture 22" descr="Manifold PF Standard.jpg">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 cstate="email"/>
        <a:srcRect/>
        <a:stretch>
          <a:fillRect/>
        </a:stretch>
      </xdr:blipFill>
      <xdr:spPr>
        <a:xfrm rot="20151185">
          <a:off x="1804669" y="8357721"/>
          <a:ext cx="906613" cy="760382"/>
        </a:xfrm>
        <a:prstGeom prst="rect">
          <a:avLst/>
        </a:prstGeom>
      </xdr:spPr>
    </xdr:pic>
    <xdr:clientData/>
  </xdr:twoCellAnchor>
  <xdr:twoCellAnchor editAs="oneCell">
    <xdr:from>
      <xdr:col>0</xdr:col>
      <xdr:colOff>0</xdr:colOff>
      <xdr:row>13</xdr:row>
      <xdr:rowOff>19050</xdr:rowOff>
    </xdr:from>
    <xdr:to>
      <xdr:col>2</xdr:col>
      <xdr:colOff>342900</xdr:colOff>
      <xdr:row>20</xdr:row>
      <xdr:rowOff>2562</xdr:rowOff>
    </xdr:to>
    <xdr:pic>
      <xdr:nvPicPr>
        <xdr:cNvPr id="7" name="Picture 6">
          <a:extLst>
            <a:ext uri="{FF2B5EF4-FFF2-40B4-BE49-F238E27FC236}">
              <a16:creationId xmlns:a16="http://schemas.microsoft.com/office/drawing/2014/main" id="{EC3F3F09-6E82-42CB-8837-F9592CF5686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993" t="13815" r="14012" b="11579"/>
        <a:stretch/>
      </xdr:blipFill>
      <xdr:spPr>
        <a:xfrm>
          <a:off x="0" y="2924175"/>
          <a:ext cx="2209800" cy="1243987"/>
        </a:xfrm>
        <a:prstGeom prst="rect">
          <a:avLst/>
        </a:prstGeom>
      </xdr:spPr>
    </xdr:pic>
    <xdr:clientData/>
  </xdr:twoCellAnchor>
  <xdr:twoCellAnchor editAs="oneCell">
    <xdr:from>
      <xdr:col>0</xdr:col>
      <xdr:colOff>0</xdr:colOff>
      <xdr:row>33</xdr:row>
      <xdr:rowOff>95250</xdr:rowOff>
    </xdr:from>
    <xdr:to>
      <xdr:col>2</xdr:col>
      <xdr:colOff>95249</xdr:colOff>
      <xdr:row>40</xdr:row>
      <xdr:rowOff>93892</xdr:rowOff>
    </xdr:to>
    <xdr:pic>
      <xdr:nvPicPr>
        <xdr:cNvPr id="5" name="Picture 4">
          <a:extLst>
            <a:ext uri="{FF2B5EF4-FFF2-40B4-BE49-F238E27FC236}">
              <a16:creationId xmlns:a16="http://schemas.microsoft.com/office/drawing/2014/main" id="{076259F7-2A9D-4372-A225-2AA0CF98F3B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50" t="9924" r="15564" b="9031"/>
        <a:stretch/>
      </xdr:blipFill>
      <xdr:spPr>
        <a:xfrm>
          <a:off x="0" y="6619875"/>
          <a:ext cx="1962149" cy="1265467"/>
        </a:xfrm>
        <a:prstGeom prst="rect">
          <a:avLst/>
        </a:prstGeom>
      </xdr:spPr>
    </xdr:pic>
    <xdr:clientData/>
  </xdr:twoCellAnchor>
  <xdr:twoCellAnchor editAs="oneCell">
    <xdr:from>
      <xdr:col>2</xdr:col>
      <xdr:colOff>39370</xdr:colOff>
      <xdr:row>57</xdr:row>
      <xdr:rowOff>40641</xdr:rowOff>
    </xdr:from>
    <xdr:to>
      <xdr:col>2</xdr:col>
      <xdr:colOff>818785</xdr:colOff>
      <xdr:row>59</xdr:row>
      <xdr:rowOff>482601</xdr:rowOff>
    </xdr:to>
    <xdr:pic>
      <xdr:nvPicPr>
        <xdr:cNvPr id="24" name="Picture 23" descr="Manifold PF Threaded.jpg">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4" cstate="email"/>
        <a:srcRect/>
        <a:stretch>
          <a:fillRect/>
        </a:stretch>
      </xdr:blipFill>
      <xdr:spPr>
        <a:xfrm>
          <a:off x="1906270" y="9489441"/>
          <a:ext cx="779415" cy="803910"/>
        </a:xfrm>
        <a:prstGeom prst="rect">
          <a:avLst/>
        </a:prstGeom>
      </xdr:spPr>
    </xdr:pic>
    <xdr:clientData/>
  </xdr:twoCellAnchor>
  <xdr:twoCellAnchor editAs="oneCell">
    <xdr:from>
      <xdr:col>1</xdr:col>
      <xdr:colOff>1581935</xdr:colOff>
      <xdr:row>24</xdr:row>
      <xdr:rowOff>99482</xdr:rowOff>
    </xdr:from>
    <xdr:to>
      <xdr:col>2</xdr:col>
      <xdr:colOff>1685925</xdr:colOff>
      <xdr:row>30</xdr:row>
      <xdr:rowOff>133358</xdr:rowOff>
    </xdr:to>
    <xdr:pic>
      <xdr:nvPicPr>
        <xdr:cNvPr id="20" name="Picture 19" descr="Quick Drop Threaded 2.jpg">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5" cstate="email"/>
        <a:srcRect/>
        <a:stretch>
          <a:fillRect/>
        </a:stretch>
      </xdr:blipFill>
      <xdr:spPr>
        <a:xfrm>
          <a:off x="1645435" y="3147482"/>
          <a:ext cx="1904215" cy="1100676"/>
        </a:xfrm>
        <a:prstGeom prst="rect">
          <a:avLst/>
        </a:prstGeom>
      </xdr:spPr>
    </xdr:pic>
    <xdr:clientData/>
  </xdr:twoCellAnchor>
  <xdr:twoCellAnchor>
    <xdr:from>
      <xdr:col>1</xdr:col>
      <xdr:colOff>24553</xdr:colOff>
      <xdr:row>0</xdr:row>
      <xdr:rowOff>203479</xdr:rowOff>
    </xdr:from>
    <xdr:to>
      <xdr:col>2</xdr:col>
      <xdr:colOff>1630680</xdr:colOff>
      <xdr:row>0</xdr:row>
      <xdr:rowOff>477799</xdr:rowOff>
    </xdr:to>
    <xdr:grpSp>
      <xdr:nvGrpSpPr>
        <xdr:cNvPr id="13" name="Group 12">
          <a:extLst>
            <a:ext uri="{FF2B5EF4-FFF2-40B4-BE49-F238E27FC236}">
              <a16:creationId xmlns:a16="http://schemas.microsoft.com/office/drawing/2014/main" id="{00000000-0008-0000-0700-00000D000000}"/>
            </a:ext>
          </a:extLst>
        </xdr:cNvPr>
        <xdr:cNvGrpSpPr/>
      </xdr:nvGrpSpPr>
      <xdr:grpSpPr>
        <a:xfrm>
          <a:off x="94403" y="200304"/>
          <a:ext cx="3400002" cy="277495"/>
          <a:chOff x="83820" y="203480"/>
          <a:chExt cx="3375660" cy="274320"/>
        </a:xfrm>
      </xdr:grpSpPr>
      <xdr:sp macro="" textlink="">
        <xdr:nvSpPr>
          <xdr:cNvPr id="15" name="TextBox 14">
            <a:hlinkClick xmlns:r="http://schemas.openxmlformats.org/officeDocument/2006/relationships" r:id="rId6"/>
            <a:extLst>
              <a:ext uri="{FF2B5EF4-FFF2-40B4-BE49-F238E27FC236}">
                <a16:creationId xmlns:a16="http://schemas.microsoft.com/office/drawing/2014/main" id="{00000000-0008-0000-0700-00000F000000}"/>
              </a:ext>
            </a:extLst>
          </xdr:cNvPr>
          <xdr:cNvSpPr txBox="1"/>
        </xdr:nvSpPr>
        <xdr:spPr>
          <a:xfrm>
            <a:off x="8382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16" name="TextBox 15">
            <a:hlinkClick xmlns:r="http://schemas.openxmlformats.org/officeDocument/2006/relationships" r:id="rId7"/>
            <a:extLst>
              <a:ext uri="{FF2B5EF4-FFF2-40B4-BE49-F238E27FC236}">
                <a16:creationId xmlns:a16="http://schemas.microsoft.com/office/drawing/2014/main" id="{00000000-0008-0000-0700-000010000000}"/>
              </a:ext>
            </a:extLst>
          </xdr:cNvPr>
          <xdr:cNvSpPr txBox="1"/>
        </xdr:nvSpPr>
        <xdr:spPr>
          <a:xfrm>
            <a:off x="185928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7</xdr:col>
      <xdr:colOff>781050</xdr:colOff>
      <xdr:row>63</xdr:row>
      <xdr:rowOff>258232</xdr:rowOff>
    </xdr:from>
    <xdr:to>
      <xdr:col>10</xdr:col>
      <xdr:colOff>751417</xdr:colOff>
      <xdr:row>63</xdr:row>
      <xdr:rowOff>524085</xdr:rowOff>
    </xdr:to>
    <xdr:sp macro="" textlink="">
      <xdr:nvSpPr>
        <xdr:cNvPr id="17" name="TextBox 16">
          <a:hlinkClick xmlns:r="http://schemas.openxmlformats.org/officeDocument/2006/relationships" r:id="rId8" tooltip="Return to Top of Page"/>
          <a:extLst>
            <a:ext uri="{FF2B5EF4-FFF2-40B4-BE49-F238E27FC236}">
              <a16:creationId xmlns:a16="http://schemas.microsoft.com/office/drawing/2014/main" id="{00000000-0008-0000-0700-000011000000}"/>
            </a:ext>
          </a:extLst>
        </xdr:cNvPr>
        <xdr:cNvSpPr txBox="1"/>
      </xdr:nvSpPr>
      <xdr:spPr>
        <a:xfrm>
          <a:off x="9785350" y="11104032"/>
          <a:ext cx="1621367" cy="265853"/>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xdr:from>
      <xdr:col>1</xdr:col>
      <xdr:colOff>63500</xdr:colOff>
      <xdr:row>4</xdr:row>
      <xdr:rowOff>0</xdr:rowOff>
    </xdr:from>
    <xdr:to>
      <xdr:col>1</xdr:col>
      <xdr:colOff>1771650</xdr:colOff>
      <xdr:row>9</xdr:row>
      <xdr:rowOff>6350</xdr:rowOff>
    </xdr:to>
    <xdr:sp macro="" textlink="">
      <xdr:nvSpPr>
        <xdr:cNvPr id="2" name="TextBox 1">
          <a:extLst>
            <a:ext uri="{FF2B5EF4-FFF2-40B4-BE49-F238E27FC236}">
              <a16:creationId xmlns:a16="http://schemas.microsoft.com/office/drawing/2014/main" id="{BA811D92-AEEF-45E6-8E31-0F104CB446A3}"/>
            </a:ext>
          </a:extLst>
        </xdr:cNvPr>
        <xdr:cNvSpPr txBox="1"/>
      </xdr:nvSpPr>
      <xdr:spPr>
        <a:xfrm>
          <a:off x="127000" y="1270000"/>
          <a:ext cx="1708150" cy="895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accent1"/>
              </a:solidFill>
            </a:rPr>
            <a:t>Quick drops unavailable for 3/4" pipe - due to size of hole needed to be drilled.</a:t>
          </a:r>
        </a:p>
      </xdr:txBody>
    </xdr:sp>
    <xdr:clientData/>
  </xdr:twoCellAnchor>
  <xdr:twoCellAnchor editAs="oneCell">
    <xdr:from>
      <xdr:col>1</xdr:col>
      <xdr:colOff>1628146</xdr:colOff>
      <xdr:row>3</xdr:row>
      <xdr:rowOff>127000</xdr:rowOff>
    </xdr:from>
    <xdr:to>
      <xdr:col>2</xdr:col>
      <xdr:colOff>1664331</xdr:colOff>
      <xdr:row>9</xdr:row>
      <xdr:rowOff>152400</xdr:rowOff>
    </xdr:to>
    <xdr:pic>
      <xdr:nvPicPr>
        <xdr:cNvPr id="19" name="Picture 18" descr="Quick Drop Small.jpg">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9" cstate="email"/>
        <a:srcRect/>
        <a:stretch>
          <a:fillRect/>
        </a:stretch>
      </xdr:blipFill>
      <xdr:spPr>
        <a:xfrm>
          <a:off x="1628146" y="914400"/>
          <a:ext cx="1802543" cy="1143000"/>
        </a:xfrm>
        <a:prstGeom prst="rect">
          <a:avLst/>
        </a:prstGeom>
      </xdr:spPr>
    </xdr:pic>
    <xdr:clientData/>
  </xdr:twoCellAnchor>
  <xdr:twoCellAnchor editAs="oneCell">
    <xdr:from>
      <xdr:col>1</xdr:col>
      <xdr:colOff>107950</xdr:colOff>
      <xdr:row>51</xdr:row>
      <xdr:rowOff>19050</xdr:rowOff>
    </xdr:from>
    <xdr:to>
      <xdr:col>1</xdr:col>
      <xdr:colOff>1609148</xdr:colOff>
      <xdr:row>53</xdr:row>
      <xdr:rowOff>122671</xdr:rowOff>
    </xdr:to>
    <xdr:pic>
      <xdr:nvPicPr>
        <xdr:cNvPr id="27" name="Picture 26">
          <a:extLst>
            <a:ext uri="{FF2B5EF4-FFF2-40B4-BE49-F238E27FC236}">
              <a16:creationId xmlns:a16="http://schemas.microsoft.com/office/drawing/2014/main" id="{FB0ACB5D-C13E-4DB6-B5C2-2EE1281A8C6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35655" r="5111" b="33866"/>
        <a:stretch/>
      </xdr:blipFill>
      <xdr:spPr>
        <a:xfrm>
          <a:off x="171450" y="4845050"/>
          <a:ext cx="1498023" cy="456046"/>
        </a:xfrm>
        <a:prstGeom prst="rect">
          <a:avLst/>
        </a:prstGeom>
      </xdr:spPr>
    </xdr:pic>
    <xdr:clientData/>
  </xdr:twoCellAnchor>
  <xdr:twoCellAnchor>
    <xdr:from>
      <xdr:col>2</xdr:col>
      <xdr:colOff>38367</xdr:colOff>
      <xdr:row>17</xdr:row>
      <xdr:rowOff>48274</xdr:rowOff>
    </xdr:from>
    <xdr:to>
      <xdr:col>3</xdr:col>
      <xdr:colOff>38918</xdr:colOff>
      <xdr:row>19</xdr:row>
      <xdr:rowOff>11461</xdr:rowOff>
    </xdr:to>
    <xdr:sp macro="" textlink="">
      <xdr:nvSpPr>
        <xdr:cNvPr id="4" name="TextBox 3">
          <a:extLst>
            <a:ext uri="{FF2B5EF4-FFF2-40B4-BE49-F238E27FC236}">
              <a16:creationId xmlns:a16="http://schemas.microsoft.com/office/drawing/2014/main" id="{5722E794-094A-4A80-B5F3-DF760EB13721}"/>
            </a:ext>
          </a:extLst>
        </xdr:cNvPr>
        <xdr:cNvSpPr txBox="1"/>
      </xdr:nvSpPr>
      <xdr:spPr>
        <a:xfrm rot="20031069">
          <a:off x="1905267" y="3677299"/>
          <a:ext cx="1953176" cy="3251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FF0000"/>
              </a:solidFill>
              <a:latin typeface="Arial Black" panose="020B0A04020102020204" pitchFamily="34" charset="0"/>
            </a:rPr>
            <a:t>New Larger Sizes</a:t>
          </a:r>
        </a:p>
      </xdr:txBody>
    </xdr:sp>
    <xdr:clientData/>
  </xdr:twoCellAnchor>
  <xdr:twoCellAnchor editAs="oneCell">
    <xdr:from>
      <xdr:col>2</xdr:col>
      <xdr:colOff>323633</xdr:colOff>
      <xdr:row>62</xdr:row>
      <xdr:rowOff>0</xdr:rowOff>
    </xdr:from>
    <xdr:to>
      <xdr:col>2</xdr:col>
      <xdr:colOff>1477344</xdr:colOff>
      <xdr:row>63</xdr:row>
      <xdr:rowOff>311150</xdr:rowOff>
    </xdr:to>
    <xdr:pic>
      <xdr:nvPicPr>
        <xdr:cNvPr id="21" name="Picture 20" descr="Plugs for wall mount">
          <a:extLst>
            <a:ext uri="{FF2B5EF4-FFF2-40B4-BE49-F238E27FC236}">
              <a16:creationId xmlns:a16="http://schemas.microsoft.com/office/drawing/2014/main" id="{08A375E8-E8D9-4CDD-B9A2-63E599FDBA99}"/>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2500" t="36666" r="12084" b="36334"/>
        <a:stretch/>
      </xdr:blipFill>
      <xdr:spPr bwMode="auto">
        <a:xfrm>
          <a:off x="2190533" y="10668000"/>
          <a:ext cx="1153711"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59</xdr:row>
      <xdr:rowOff>248148</xdr:rowOff>
    </xdr:from>
    <xdr:to>
      <xdr:col>1</xdr:col>
      <xdr:colOff>1435100</xdr:colOff>
      <xdr:row>63</xdr:row>
      <xdr:rowOff>693707</xdr:rowOff>
    </xdr:to>
    <xdr:pic>
      <xdr:nvPicPr>
        <xdr:cNvPr id="22" name="Picture 21">
          <a:extLst>
            <a:ext uri="{FF2B5EF4-FFF2-40B4-BE49-F238E27FC236}">
              <a16:creationId xmlns:a16="http://schemas.microsoft.com/office/drawing/2014/main" id="{C8E2EAC1-FD86-474C-B360-DCDA52A16488}"/>
            </a:ext>
          </a:extLst>
        </xdr:cNvPr>
        <xdr:cNvPicPr>
          <a:picLocks noChangeAspect="1"/>
        </xdr:cNvPicPr>
      </xdr:nvPicPr>
      <xdr:blipFill>
        <a:blip xmlns:r="http://schemas.openxmlformats.org/officeDocument/2006/relationships" r:embed="rId12"/>
        <a:stretch>
          <a:fillRect/>
        </a:stretch>
      </xdr:blipFill>
      <xdr:spPr>
        <a:xfrm>
          <a:off x="234950" y="10052548"/>
          <a:ext cx="1263650" cy="1486959"/>
        </a:xfrm>
        <a:prstGeom prst="rect">
          <a:avLst/>
        </a:prstGeom>
      </xdr:spPr>
    </xdr:pic>
    <xdr:clientData/>
  </xdr:twoCellAnchor>
  <xdr:twoCellAnchor editAs="oneCell">
    <xdr:from>
      <xdr:col>1</xdr:col>
      <xdr:colOff>1730376</xdr:colOff>
      <xdr:row>34</xdr:row>
      <xdr:rowOff>57150</xdr:rowOff>
    </xdr:from>
    <xdr:to>
      <xdr:col>3</xdr:col>
      <xdr:colOff>2961</xdr:colOff>
      <xdr:row>41</xdr:row>
      <xdr:rowOff>31168</xdr:rowOff>
    </xdr:to>
    <xdr:pic>
      <xdr:nvPicPr>
        <xdr:cNvPr id="8" name="Picture 7">
          <a:extLst>
            <a:ext uri="{FF2B5EF4-FFF2-40B4-BE49-F238E27FC236}">
              <a16:creationId xmlns:a16="http://schemas.microsoft.com/office/drawing/2014/main" id="{DB687599-1223-E4F7-4404-1BF1A4923994}"/>
            </a:ext>
          </a:extLst>
        </xdr:cNvPr>
        <xdr:cNvPicPr>
          <a:picLocks noChangeAspect="1"/>
        </xdr:cNvPicPr>
      </xdr:nvPicPr>
      <xdr:blipFill>
        <a:blip xmlns:r="http://schemas.openxmlformats.org/officeDocument/2006/relationships" r:embed="rId13"/>
        <a:stretch>
          <a:fillRect/>
        </a:stretch>
      </xdr:blipFill>
      <xdr:spPr>
        <a:xfrm>
          <a:off x="1797051" y="6762750"/>
          <a:ext cx="2025435" cy="1237668"/>
        </a:xfrm>
        <a:prstGeom prst="rect">
          <a:avLst/>
        </a:prstGeom>
      </xdr:spPr>
    </xdr:pic>
    <xdr:clientData/>
  </xdr:twoCellAnchor>
  <xdr:twoCellAnchor editAs="oneCell">
    <xdr:from>
      <xdr:col>2</xdr:col>
      <xdr:colOff>1054324</xdr:colOff>
      <xdr:row>50</xdr:row>
      <xdr:rowOff>47533</xdr:rowOff>
    </xdr:from>
    <xdr:to>
      <xdr:col>2</xdr:col>
      <xdr:colOff>1828800</xdr:colOff>
      <xdr:row>55</xdr:row>
      <xdr:rowOff>123824</xdr:rowOff>
    </xdr:to>
    <xdr:pic>
      <xdr:nvPicPr>
        <xdr:cNvPr id="3" name="Picture 2" descr="Nipple wall mount 1 port ISO 228  - Inlet AIRnet end  - Thread outlet 1/2&quot;">
          <a:extLst>
            <a:ext uri="{FF2B5EF4-FFF2-40B4-BE49-F238E27FC236}">
              <a16:creationId xmlns:a16="http://schemas.microsoft.com/office/drawing/2014/main" id="{EC023CE2-C981-4141-B62B-5F0FBB563894}"/>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23334" t="33333" r="18749" b="31667"/>
        <a:stretch/>
      </xdr:blipFill>
      <xdr:spPr bwMode="auto">
        <a:xfrm rot="16200000">
          <a:off x="2824229" y="8348728"/>
          <a:ext cx="968466" cy="774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251459</xdr:colOff>
      <xdr:row>15</xdr:row>
      <xdr:rowOff>38100</xdr:rowOff>
    </xdr:from>
    <xdr:to>
      <xdr:col>2</xdr:col>
      <xdr:colOff>1544954</xdr:colOff>
      <xdr:row>18</xdr:row>
      <xdr:rowOff>126366</xdr:rowOff>
    </xdr:to>
    <xdr:pic>
      <xdr:nvPicPr>
        <xdr:cNvPr id="16" name="Picture 28">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cstate="email"/>
        <a:srcRect l="20244" t="20833" r="4230" b="29167"/>
        <a:stretch>
          <a:fillRect/>
        </a:stretch>
      </xdr:blipFill>
      <xdr:spPr bwMode="auto">
        <a:xfrm>
          <a:off x="2019299" y="2674620"/>
          <a:ext cx="1293495" cy="640080"/>
        </a:xfrm>
        <a:prstGeom prst="rect">
          <a:avLst/>
        </a:prstGeom>
        <a:noFill/>
      </xdr:spPr>
    </xdr:pic>
    <xdr:clientData/>
  </xdr:twoCellAnchor>
  <xdr:twoCellAnchor editAs="oneCell">
    <xdr:from>
      <xdr:col>1</xdr:col>
      <xdr:colOff>396238</xdr:colOff>
      <xdr:row>14</xdr:row>
      <xdr:rowOff>106680</xdr:rowOff>
    </xdr:from>
    <xdr:to>
      <xdr:col>1</xdr:col>
      <xdr:colOff>1488768</xdr:colOff>
      <xdr:row>19</xdr:row>
      <xdr:rowOff>103506</xdr:rowOff>
    </xdr:to>
    <xdr:pic>
      <xdr:nvPicPr>
        <xdr:cNvPr id="23" name="Picture 22" descr="AIRnet Valve.jpg">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2" cstate="email"/>
        <a:srcRect/>
        <a:stretch>
          <a:fillRect/>
        </a:stretch>
      </xdr:blipFill>
      <xdr:spPr>
        <a:xfrm>
          <a:off x="396238" y="2560320"/>
          <a:ext cx="1092530" cy="914400"/>
        </a:xfrm>
        <a:prstGeom prst="rect">
          <a:avLst/>
        </a:prstGeom>
      </xdr:spPr>
    </xdr:pic>
    <xdr:clientData/>
  </xdr:twoCellAnchor>
  <xdr:twoCellAnchor editAs="oneCell">
    <xdr:from>
      <xdr:col>1</xdr:col>
      <xdr:colOff>1744980</xdr:colOff>
      <xdr:row>20</xdr:row>
      <xdr:rowOff>22860</xdr:rowOff>
    </xdr:from>
    <xdr:to>
      <xdr:col>2</xdr:col>
      <xdr:colOff>1736274</xdr:colOff>
      <xdr:row>24</xdr:row>
      <xdr:rowOff>0</xdr:rowOff>
    </xdr:to>
    <xdr:pic>
      <xdr:nvPicPr>
        <xdr:cNvPr id="24" name="Picture 23" descr="AIRnet Valve Threaded with Support Bracket.jpg">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3" cstate="email"/>
        <a:srcRect/>
        <a:stretch>
          <a:fillRect/>
        </a:stretch>
      </xdr:blipFill>
      <xdr:spPr>
        <a:xfrm>
          <a:off x="1744980" y="3756660"/>
          <a:ext cx="1759134" cy="731520"/>
        </a:xfrm>
        <a:prstGeom prst="rect">
          <a:avLst/>
        </a:prstGeom>
      </xdr:spPr>
    </xdr:pic>
    <xdr:clientData/>
  </xdr:twoCellAnchor>
  <xdr:twoCellAnchor editAs="oneCell">
    <xdr:from>
      <xdr:col>1</xdr:col>
      <xdr:colOff>190497</xdr:colOff>
      <xdr:row>19</xdr:row>
      <xdr:rowOff>243840</xdr:rowOff>
    </xdr:from>
    <xdr:to>
      <xdr:col>1</xdr:col>
      <xdr:colOff>1459954</xdr:colOff>
      <xdr:row>25</xdr:row>
      <xdr:rowOff>104633</xdr:rowOff>
    </xdr:to>
    <xdr:pic>
      <xdr:nvPicPr>
        <xdr:cNvPr id="25" name="Picture 24" descr="AIRnet Valve Threaded.jpg">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4" cstate="email"/>
        <a:srcRect/>
        <a:stretch>
          <a:fillRect/>
        </a:stretch>
      </xdr:blipFill>
      <xdr:spPr>
        <a:xfrm>
          <a:off x="190497" y="3611880"/>
          <a:ext cx="1272632" cy="1188720"/>
        </a:xfrm>
        <a:prstGeom prst="rect">
          <a:avLst/>
        </a:prstGeom>
      </xdr:spPr>
    </xdr:pic>
    <xdr:clientData/>
  </xdr:twoCellAnchor>
  <xdr:twoCellAnchor editAs="oneCell">
    <xdr:from>
      <xdr:col>2</xdr:col>
      <xdr:colOff>267265</xdr:colOff>
      <xdr:row>41</xdr:row>
      <xdr:rowOff>108091</xdr:rowOff>
    </xdr:from>
    <xdr:to>
      <xdr:col>2</xdr:col>
      <xdr:colOff>1037357</xdr:colOff>
      <xdr:row>45</xdr:row>
      <xdr:rowOff>179563</xdr:rowOff>
    </xdr:to>
    <xdr:pic>
      <xdr:nvPicPr>
        <xdr:cNvPr id="40" name="Picture 39" descr="Butterfly Valve Open.jpg">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5" cstate="email"/>
        <a:srcRect/>
        <a:stretch>
          <a:fillRect/>
        </a:stretch>
      </xdr:blipFill>
      <xdr:spPr>
        <a:xfrm>
          <a:off x="2136987" y="7749258"/>
          <a:ext cx="766917" cy="886742"/>
        </a:xfrm>
        <a:prstGeom prst="rect">
          <a:avLst/>
        </a:prstGeom>
      </xdr:spPr>
    </xdr:pic>
    <xdr:clientData/>
  </xdr:twoCellAnchor>
  <xdr:twoCellAnchor editAs="oneCell">
    <xdr:from>
      <xdr:col>2</xdr:col>
      <xdr:colOff>374650</xdr:colOff>
      <xdr:row>61</xdr:row>
      <xdr:rowOff>158432</xdr:rowOff>
    </xdr:from>
    <xdr:to>
      <xdr:col>2</xdr:col>
      <xdr:colOff>1616310</xdr:colOff>
      <xdr:row>66</xdr:row>
      <xdr:rowOff>171451</xdr:rowOff>
    </xdr:to>
    <xdr:pic>
      <xdr:nvPicPr>
        <xdr:cNvPr id="60" name="Picture 59" descr="Valve Support Bracket.jpg">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6" cstate="email"/>
        <a:srcRect/>
        <a:stretch>
          <a:fillRect/>
        </a:stretch>
      </xdr:blipFill>
      <xdr:spPr>
        <a:xfrm>
          <a:off x="2241550" y="10616882"/>
          <a:ext cx="1241660" cy="902019"/>
        </a:xfrm>
        <a:prstGeom prst="rect">
          <a:avLst/>
        </a:prstGeom>
      </xdr:spPr>
    </xdr:pic>
    <xdr:clientData/>
  </xdr:twoCellAnchor>
  <xdr:twoCellAnchor editAs="oneCell">
    <xdr:from>
      <xdr:col>2</xdr:col>
      <xdr:colOff>251460</xdr:colOff>
      <xdr:row>74</xdr:row>
      <xdr:rowOff>0</xdr:rowOff>
    </xdr:from>
    <xdr:to>
      <xdr:col>2</xdr:col>
      <xdr:colOff>1629094</xdr:colOff>
      <xdr:row>80</xdr:row>
      <xdr:rowOff>88264</xdr:rowOff>
    </xdr:to>
    <xdr:pic>
      <xdr:nvPicPr>
        <xdr:cNvPr id="14" name="Picture 13" descr="Butterfly Valve Flange Bolts.jpg">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7" cstate="email"/>
        <a:srcRect/>
        <a:stretch>
          <a:fillRect/>
        </a:stretch>
      </xdr:blipFill>
      <xdr:spPr>
        <a:xfrm>
          <a:off x="2019300" y="11094720"/>
          <a:ext cx="1374459" cy="1188720"/>
        </a:xfrm>
        <a:prstGeom prst="rect">
          <a:avLst/>
        </a:prstGeom>
      </xdr:spPr>
    </xdr:pic>
    <xdr:clientData/>
  </xdr:twoCellAnchor>
  <xdr:twoCellAnchor>
    <xdr:from>
      <xdr:col>1</xdr:col>
      <xdr:colOff>24553</xdr:colOff>
      <xdr:row>0</xdr:row>
      <xdr:rowOff>203479</xdr:rowOff>
    </xdr:from>
    <xdr:to>
      <xdr:col>2</xdr:col>
      <xdr:colOff>1630680</xdr:colOff>
      <xdr:row>0</xdr:row>
      <xdr:rowOff>477799</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94403" y="200304"/>
          <a:ext cx="3400002" cy="277495"/>
          <a:chOff x="83820" y="203480"/>
          <a:chExt cx="3375660" cy="274320"/>
        </a:xfrm>
      </xdr:grpSpPr>
      <xdr:sp macro="" textlink="">
        <xdr:nvSpPr>
          <xdr:cNvPr id="28" name="TextBox 27">
            <a:hlinkClick xmlns:r="http://schemas.openxmlformats.org/officeDocument/2006/relationships" r:id="rId8" tooltip="Return to Menu"/>
            <a:extLst>
              <a:ext uri="{FF2B5EF4-FFF2-40B4-BE49-F238E27FC236}">
                <a16:creationId xmlns:a16="http://schemas.microsoft.com/office/drawing/2014/main" id="{00000000-0008-0000-0800-00001C000000}"/>
              </a:ext>
            </a:extLst>
          </xdr:cNvPr>
          <xdr:cNvSpPr txBox="1"/>
        </xdr:nvSpPr>
        <xdr:spPr>
          <a:xfrm>
            <a:off x="8382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9" name="TextBox 28">
            <a:hlinkClick xmlns:r="http://schemas.openxmlformats.org/officeDocument/2006/relationships" r:id="rId9" tooltip="Go To Bill Of Materials"/>
            <a:extLst>
              <a:ext uri="{FF2B5EF4-FFF2-40B4-BE49-F238E27FC236}">
                <a16:creationId xmlns:a16="http://schemas.microsoft.com/office/drawing/2014/main" id="{00000000-0008-0000-0800-00001D000000}"/>
              </a:ext>
            </a:extLst>
          </xdr:cNvPr>
          <xdr:cNvSpPr txBox="1"/>
        </xdr:nvSpPr>
        <xdr:spPr>
          <a:xfrm>
            <a:off x="185928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7</xdr:col>
      <xdr:colOff>719668</xdr:colOff>
      <xdr:row>78</xdr:row>
      <xdr:rowOff>101602</xdr:rowOff>
    </xdr:from>
    <xdr:to>
      <xdr:col>10</xdr:col>
      <xdr:colOff>711201</xdr:colOff>
      <xdr:row>80</xdr:row>
      <xdr:rowOff>3388</xdr:rowOff>
    </xdr:to>
    <xdr:sp macro="" textlink="">
      <xdr:nvSpPr>
        <xdr:cNvPr id="30" name="TextBox 29">
          <a:hlinkClick xmlns:r="http://schemas.openxmlformats.org/officeDocument/2006/relationships" r:id="rId10" tooltip="Return to Top of Page"/>
          <a:extLst>
            <a:ext uri="{FF2B5EF4-FFF2-40B4-BE49-F238E27FC236}">
              <a16:creationId xmlns:a16="http://schemas.microsoft.com/office/drawing/2014/main" id="{00000000-0008-0000-0800-00001E000000}"/>
            </a:ext>
          </a:extLst>
        </xdr:cNvPr>
        <xdr:cNvSpPr txBox="1"/>
      </xdr:nvSpPr>
      <xdr:spPr>
        <a:xfrm>
          <a:off x="9398001" y="12716935"/>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xdr:from>
      <xdr:col>0</xdr:col>
      <xdr:colOff>0</xdr:colOff>
      <xdr:row>68</xdr:row>
      <xdr:rowOff>169334</xdr:rowOff>
    </xdr:from>
    <xdr:to>
      <xdr:col>2</xdr:col>
      <xdr:colOff>338666</xdr:colOff>
      <xdr:row>72</xdr:row>
      <xdr:rowOff>91722</xdr:rowOff>
    </xdr:to>
    <xdr:sp macro="" textlink="">
      <xdr:nvSpPr>
        <xdr:cNvPr id="2" name="TextBox 1">
          <a:extLst>
            <a:ext uri="{FF2B5EF4-FFF2-40B4-BE49-F238E27FC236}">
              <a16:creationId xmlns:a16="http://schemas.microsoft.com/office/drawing/2014/main" id="{5623AB1F-88AD-4F66-9C70-9AA6C62F0040}"/>
            </a:ext>
          </a:extLst>
        </xdr:cNvPr>
        <xdr:cNvSpPr txBox="1"/>
      </xdr:nvSpPr>
      <xdr:spPr>
        <a:xfrm>
          <a:off x="0" y="10879667"/>
          <a:ext cx="2208388" cy="6279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Gaskets required for flange installation                                     (not required with butterfly  valves)</a:t>
          </a:r>
        </a:p>
      </xdr:txBody>
    </xdr:sp>
    <xdr:clientData/>
  </xdr:twoCellAnchor>
  <xdr:twoCellAnchor editAs="oneCell">
    <xdr:from>
      <xdr:col>1</xdr:col>
      <xdr:colOff>220486</xdr:colOff>
      <xdr:row>29</xdr:row>
      <xdr:rowOff>369358</xdr:rowOff>
    </xdr:from>
    <xdr:to>
      <xdr:col>1</xdr:col>
      <xdr:colOff>1645294</xdr:colOff>
      <xdr:row>34</xdr:row>
      <xdr:rowOff>133702</xdr:rowOff>
    </xdr:to>
    <xdr:pic>
      <xdr:nvPicPr>
        <xdr:cNvPr id="4" name="Picture 3">
          <a:hlinkClick xmlns:r="http://schemas.openxmlformats.org/officeDocument/2006/relationships" r:id="rId11"/>
          <a:extLst>
            <a:ext uri="{FF2B5EF4-FFF2-40B4-BE49-F238E27FC236}">
              <a16:creationId xmlns:a16="http://schemas.microsoft.com/office/drawing/2014/main" id="{44AE6D48-A93F-4CB9-8726-635108C6CDC9}"/>
            </a:ext>
          </a:extLst>
        </xdr:cNvPr>
        <xdr:cNvPicPr>
          <a:picLocks noChangeAspect="1"/>
        </xdr:cNvPicPr>
      </xdr:nvPicPr>
      <xdr:blipFill>
        <a:blip xmlns:r="http://schemas.openxmlformats.org/officeDocument/2006/relationships" r:embed="rId12"/>
        <a:stretch>
          <a:fillRect/>
        </a:stretch>
      </xdr:blipFill>
      <xdr:spPr>
        <a:xfrm>
          <a:off x="287161" y="4474633"/>
          <a:ext cx="1424808" cy="916869"/>
        </a:xfrm>
        <a:prstGeom prst="rect">
          <a:avLst/>
        </a:prstGeom>
      </xdr:spPr>
    </xdr:pic>
    <xdr:clientData/>
  </xdr:twoCellAnchor>
  <xdr:twoCellAnchor editAs="oneCell">
    <xdr:from>
      <xdr:col>2</xdr:col>
      <xdr:colOff>14112</xdr:colOff>
      <xdr:row>30</xdr:row>
      <xdr:rowOff>10338</xdr:rowOff>
    </xdr:from>
    <xdr:to>
      <xdr:col>3</xdr:col>
      <xdr:colOff>2117</xdr:colOff>
      <xdr:row>41</xdr:row>
      <xdr:rowOff>7932</xdr:rowOff>
    </xdr:to>
    <xdr:pic>
      <xdr:nvPicPr>
        <xdr:cNvPr id="21" name="Picture 20">
          <a:extLst>
            <a:ext uri="{FF2B5EF4-FFF2-40B4-BE49-F238E27FC236}">
              <a16:creationId xmlns:a16="http://schemas.microsoft.com/office/drawing/2014/main" id="{FA023FE3-B65D-400C-9D02-9D1F498B11F2}"/>
            </a:ext>
          </a:extLst>
        </xdr:cNvPr>
        <xdr:cNvPicPr>
          <a:picLocks noChangeAspect="1"/>
        </xdr:cNvPicPr>
      </xdr:nvPicPr>
      <xdr:blipFill>
        <a:blip xmlns:r="http://schemas.openxmlformats.org/officeDocument/2006/relationships" r:embed="rId13">
          <a:extLst>
            <a:ext uri="{BEBA8EAE-BF5A-486C-A8C5-ECC9F3942E4B}">
              <a14:imgProps xmlns:a14="http://schemas.microsoft.com/office/drawing/2010/main">
                <a14:imgLayer r:embed="rId14">
                  <a14:imgEffect>
                    <a14:brightnessContrast bright="40000" contrast="20000"/>
                  </a14:imgEffect>
                </a14:imgLayer>
              </a14:imgProps>
            </a:ext>
          </a:extLst>
        </a:blip>
        <a:stretch>
          <a:fillRect/>
        </a:stretch>
      </xdr:blipFill>
      <xdr:spPr>
        <a:xfrm>
          <a:off x="1883834" y="5421949"/>
          <a:ext cx="1785055" cy="1372369"/>
        </a:xfrm>
        <a:prstGeom prst="rect">
          <a:avLst/>
        </a:prstGeom>
      </xdr:spPr>
    </xdr:pic>
    <xdr:clientData/>
  </xdr:twoCellAnchor>
  <xdr:twoCellAnchor>
    <xdr:from>
      <xdr:col>2</xdr:col>
      <xdr:colOff>853723</xdr:colOff>
      <xdr:row>43</xdr:row>
      <xdr:rowOff>49389</xdr:rowOff>
    </xdr:from>
    <xdr:to>
      <xdr:col>2</xdr:col>
      <xdr:colOff>1601612</xdr:colOff>
      <xdr:row>45</xdr:row>
      <xdr:rowOff>98778</xdr:rowOff>
    </xdr:to>
    <xdr:sp macro="" textlink="">
      <xdr:nvSpPr>
        <xdr:cNvPr id="32" name="TextBox 31">
          <a:extLst>
            <a:ext uri="{FF2B5EF4-FFF2-40B4-BE49-F238E27FC236}">
              <a16:creationId xmlns:a16="http://schemas.microsoft.com/office/drawing/2014/main" id="{DC098E83-C884-4E1B-9374-802875D10768}"/>
            </a:ext>
          </a:extLst>
        </xdr:cNvPr>
        <xdr:cNvSpPr txBox="1"/>
      </xdr:nvSpPr>
      <xdr:spPr>
        <a:xfrm>
          <a:off x="2723445" y="8099778"/>
          <a:ext cx="747889" cy="45861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a:t>
          </a:r>
        </a:p>
      </xdr:txBody>
    </xdr:sp>
    <xdr:clientData/>
  </xdr:twoCellAnchor>
  <xdr:twoCellAnchor>
    <xdr:from>
      <xdr:col>1</xdr:col>
      <xdr:colOff>1093610</xdr:colOff>
      <xdr:row>42</xdr:row>
      <xdr:rowOff>14109</xdr:rowOff>
    </xdr:from>
    <xdr:to>
      <xdr:col>2</xdr:col>
      <xdr:colOff>119943</xdr:colOff>
      <xdr:row>45</xdr:row>
      <xdr:rowOff>105832</xdr:rowOff>
    </xdr:to>
    <xdr:sp macro="" textlink="">
      <xdr:nvSpPr>
        <xdr:cNvPr id="34" name="TextBox 33">
          <a:extLst>
            <a:ext uri="{FF2B5EF4-FFF2-40B4-BE49-F238E27FC236}">
              <a16:creationId xmlns:a16="http://schemas.microsoft.com/office/drawing/2014/main" id="{E9EA0F07-B431-409E-AE23-3882FBAEDDA7}"/>
            </a:ext>
          </a:extLst>
        </xdr:cNvPr>
        <xdr:cNvSpPr txBox="1"/>
      </xdr:nvSpPr>
      <xdr:spPr>
        <a:xfrm>
          <a:off x="1157110" y="7055553"/>
          <a:ext cx="832555" cy="705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a:t>
          </a:r>
          <a:r>
            <a:rPr lang="en-US" sz="1100" baseline="0">
              <a:solidFill>
                <a:schemeClr val="accent1"/>
              </a:solidFill>
            </a:rPr>
            <a:t> &amp; 3" Diameter</a:t>
          </a:r>
          <a:endParaRPr lang="en-US" sz="1100">
            <a:solidFill>
              <a:schemeClr val="accent1"/>
            </a:solidFill>
          </a:endParaRPr>
        </a:p>
      </xdr:txBody>
    </xdr:sp>
    <xdr:clientData/>
  </xdr:twoCellAnchor>
  <xdr:twoCellAnchor>
    <xdr:from>
      <xdr:col>1</xdr:col>
      <xdr:colOff>1524000</xdr:colOff>
      <xdr:row>48</xdr:row>
      <xdr:rowOff>197556</xdr:rowOff>
    </xdr:from>
    <xdr:to>
      <xdr:col>2</xdr:col>
      <xdr:colOff>550333</xdr:colOff>
      <xdr:row>52</xdr:row>
      <xdr:rowOff>35278</xdr:rowOff>
    </xdr:to>
    <xdr:sp macro="" textlink="">
      <xdr:nvSpPr>
        <xdr:cNvPr id="36" name="TextBox 35">
          <a:extLst>
            <a:ext uri="{FF2B5EF4-FFF2-40B4-BE49-F238E27FC236}">
              <a16:creationId xmlns:a16="http://schemas.microsoft.com/office/drawing/2014/main" id="{7B666A08-3490-449E-ADF0-1D8A413520C8}"/>
            </a:ext>
          </a:extLst>
        </xdr:cNvPr>
        <xdr:cNvSpPr txBox="1"/>
      </xdr:nvSpPr>
      <xdr:spPr>
        <a:xfrm>
          <a:off x="1587500" y="8628945"/>
          <a:ext cx="832555" cy="65616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PM Series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2 1/2" &amp; 3" Diameter</a:t>
          </a:r>
        </a:p>
      </xdr:txBody>
    </xdr:sp>
    <xdr:clientData/>
  </xdr:twoCellAnchor>
  <xdr:twoCellAnchor editAs="oneCell">
    <xdr:from>
      <xdr:col>1</xdr:col>
      <xdr:colOff>14417</xdr:colOff>
      <xdr:row>41</xdr:row>
      <xdr:rowOff>91723</xdr:rowOff>
    </xdr:from>
    <xdr:to>
      <xdr:col>1</xdr:col>
      <xdr:colOff>1151279</xdr:colOff>
      <xdr:row>46</xdr:row>
      <xdr:rowOff>324555</xdr:rowOff>
    </xdr:to>
    <xdr:pic>
      <xdr:nvPicPr>
        <xdr:cNvPr id="27" name="Picture 26">
          <a:extLst>
            <a:ext uri="{FF2B5EF4-FFF2-40B4-BE49-F238E27FC236}">
              <a16:creationId xmlns:a16="http://schemas.microsoft.com/office/drawing/2014/main" id="{AC4A9D6C-9D64-4F40-8287-F7E6A8297B3B}"/>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428" t="19999" r="23429" b="22144"/>
        <a:stretch/>
      </xdr:blipFill>
      <xdr:spPr>
        <a:xfrm>
          <a:off x="77917" y="6928556"/>
          <a:ext cx="1133687" cy="1255888"/>
        </a:xfrm>
        <a:prstGeom prst="rect">
          <a:avLst/>
        </a:prstGeom>
      </xdr:spPr>
    </xdr:pic>
    <xdr:clientData/>
  </xdr:twoCellAnchor>
  <xdr:twoCellAnchor editAs="oneCell">
    <xdr:from>
      <xdr:col>2</xdr:col>
      <xdr:colOff>507999</xdr:colOff>
      <xdr:row>47</xdr:row>
      <xdr:rowOff>27622</xdr:rowOff>
    </xdr:from>
    <xdr:to>
      <xdr:col>2</xdr:col>
      <xdr:colOff>1591381</xdr:colOff>
      <xdr:row>52</xdr:row>
      <xdr:rowOff>189360</xdr:rowOff>
    </xdr:to>
    <xdr:pic>
      <xdr:nvPicPr>
        <xdr:cNvPr id="31" name="Picture 30">
          <a:extLst>
            <a:ext uri="{FF2B5EF4-FFF2-40B4-BE49-F238E27FC236}">
              <a16:creationId xmlns:a16="http://schemas.microsoft.com/office/drawing/2014/main" id="{E6A65D8C-5309-4BCD-A9F8-B3D775FDE12E}"/>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3143" t="18286" r="32572" b="18571"/>
        <a:stretch/>
      </xdr:blipFill>
      <xdr:spPr>
        <a:xfrm>
          <a:off x="2377721" y="8254400"/>
          <a:ext cx="1086557" cy="1184793"/>
        </a:xfrm>
        <a:prstGeom prst="rect">
          <a:avLst/>
        </a:prstGeom>
      </xdr:spPr>
    </xdr:pic>
    <xdr:clientData/>
  </xdr:twoCellAnchor>
  <xdr:twoCellAnchor>
    <xdr:from>
      <xdr:col>1</xdr:col>
      <xdr:colOff>1192389</xdr:colOff>
      <xdr:row>54</xdr:row>
      <xdr:rowOff>98779</xdr:rowOff>
    </xdr:from>
    <xdr:to>
      <xdr:col>2</xdr:col>
      <xdr:colOff>218722</xdr:colOff>
      <xdr:row>58</xdr:row>
      <xdr:rowOff>77611</xdr:rowOff>
    </xdr:to>
    <xdr:sp macro="" textlink="">
      <xdr:nvSpPr>
        <xdr:cNvPr id="38" name="TextBox 37">
          <a:extLst>
            <a:ext uri="{FF2B5EF4-FFF2-40B4-BE49-F238E27FC236}">
              <a16:creationId xmlns:a16="http://schemas.microsoft.com/office/drawing/2014/main" id="{7A13966C-615D-48CC-8C4A-0147F34B4555}"/>
            </a:ext>
          </a:extLst>
        </xdr:cNvPr>
        <xdr:cNvSpPr txBox="1"/>
      </xdr:nvSpPr>
      <xdr:spPr>
        <a:xfrm>
          <a:off x="1255889" y="9729612"/>
          <a:ext cx="832555" cy="6843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a:t>
          </a:r>
          <a:r>
            <a:rPr lang="en-US" sz="1100" baseline="0">
              <a:solidFill>
                <a:schemeClr val="accent1"/>
              </a:solidFill>
            </a:rPr>
            <a:t> &amp; 3" Diameter</a:t>
          </a:r>
          <a:endParaRPr lang="en-US" sz="1100">
            <a:solidFill>
              <a:schemeClr val="accent1"/>
            </a:solidFill>
          </a:endParaRPr>
        </a:p>
      </xdr:txBody>
    </xdr:sp>
    <xdr:clientData/>
  </xdr:twoCellAnchor>
  <xdr:twoCellAnchor editAs="oneCell">
    <xdr:from>
      <xdr:col>1</xdr:col>
      <xdr:colOff>28222</xdr:colOff>
      <xdr:row>54</xdr:row>
      <xdr:rowOff>18900</xdr:rowOff>
    </xdr:from>
    <xdr:to>
      <xdr:col>1</xdr:col>
      <xdr:colOff>1209674</xdr:colOff>
      <xdr:row>59</xdr:row>
      <xdr:rowOff>120886</xdr:rowOff>
    </xdr:to>
    <xdr:pic>
      <xdr:nvPicPr>
        <xdr:cNvPr id="33" name="Picture 32">
          <a:extLst>
            <a:ext uri="{FF2B5EF4-FFF2-40B4-BE49-F238E27FC236}">
              <a16:creationId xmlns:a16="http://schemas.microsoft.com/office/drawing/2014/main" id="{C2022DE6-2905-4BBC-8AB9-FD40FDF7A266}"/>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2286" t="23286" r="19000" b="24000"/>
        <a:stretch/>
      </xdr:blipFill>
      <xdr:spPr>
        <a:xfrm>
          <a:off x="91722" y="9649733"/>
          <a:ext cx="1178277" cy="987106"/>
        </a:xfrm>
        <a:prstGeom prst="rect">
          <a:avLst/>
        </a:prstGeom>
      </xdr:spPr>
    </xdr:pic>
    <xdr:clientData/>
  </xdr:twoCellAnchor>
  <xdr:twoCellAnchor>
    <xdr:from>
      <xdr:col>2</xdr:col>
      <xdr:colOff>162277</xdr:colOff>
      <xdr:row>57</xdr:row>
      <xdr:rowOff>84667</xdr:rowOff>
    </xdr:from>
    <xdr:to>
      <xdr:col>2</xdr:col>
      <xdr:colOff>910166</xdr:colOff>
      <xdr:row>60</xdr:row>
      <xdr:rowOff>14111</xdr:rowOff>
    </xdr:to>
    <xdr:sp macro="" textlink="">
      <xdr:nvSpPr>
        <xdr:cNvPr id="39" name="TextBox 38">
          <a:extLst>
            <a:ext uri="{FF2B5EF4-FFF2-40B4-BE49-F238E27FC236}">
              <a16:creationId xmlns:a16="http://schemas.microsoft.com/office/drawing/2014/main" id="{AE634C28-6C8C-4488-8E70-A40063541895}"/>
            </a:ext>
          </a:extLst>
        </xdr:cNvPr>
        <xdr:cNvSpPr txBox="1"/>
      </xdr:nvSpPr>
      <xdr:spPr>
        <a:xfrm>
          <a:off x="2031999" y="10244667"/>
          <a:ext cx="747889" cy="45861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a:t>
          </a:r>
        </a:p>
      </xdr:txBody>
    </xdr:sp>
    <xdr:clientData/>
  </xdr:twoCellAnchor>
  <xdr:twoCellAnchor editAs="oneCell">
    <xdr:from>
      <xdr:col>2</xdr:col>
      <xdr:colOff>773146</xdr:colOff>
      <xdr:row>54</xdr:row>
      <xdr:rowOff>49388</xdr:rowOff>
    </xdr:from>
    <xdr:to>
      <xdr:col>3</xdr:col>
      <xdr:colOff>2796</xdr:colOff>
      <xdr:row>59</xdr:row>
      <xdr:rowOff>104265</xdr:rowOff>
    </xdr:to>
    <xdr:pic>
      <xdr:nvPicPr>
        <xdr:cNvPr id="48" name="Picture 47" descr="Flange 6 inch.jpg">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18" cstate="email"/>
        <a:srcRect/>
        <a:stretch>
          <a:fillRect/>
        </a:stretch>
      </xdr:blipFill>
      <xdr:spPr>
        <a:xfrm>
          <a:off x="2642868" y="9680221"/>
          <a:ext cx="1023525" cy="933647"/>
        </a:xfrm>
        <a:prstGeom prst="rect">
          <a:avLst/>
        </a:prstGeom>
      </xdr:spPr>
    </xdr:pic>
    <xdr:clientData/>
  </xdr:twoCellAnchor>
  <xdr:twoCellAnchor editAs="oneCell">
    <xdr:from>
      <xdr:col>1</xdr:col>
      <xdr:colOff>552449</xdr:colOff>
      <xdr:row>26</xdr:row>
      <xdr:rowOff>57150</xdr:rowOff>
    </xdr:from>
    <xdr:to>
      <xdr:col>1</xdr:col>
      <xdr:colOff>1743075</xdr:colOff>
      <xdr:row>29</xdr:row>
      <xdr:rowOff>75756</xdr:rowOff>
    </xdr:to>
    <xdr:pic>
      <xdr:nvPicPr>
        <xdr:cNvPr id="5" name="Picture 4" descr="LOTO handles D20-D25">
          <a:extLst>
            <a:ext uri="{FF2B5EF4-FFF2-40B4-BE49-F238E27FC236}">
              <a16:creationId xmlns:a16="http://schemas.microsoft.com/office/drawing/2014/main" id="{23E8DFB2-8574-4BB7-B872-796BE708007D}"/>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4286" t="31286" r="14714" b="33428"/>
        <a:stretch/>
      </xdr:blipFill>
      <xdr:spPr bwMode="auto">
        <a:xfrm>
          <a:off x="615949" y="3536950"/>
          <a:ext cx="1187451" cy="628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44450</xdr:colOff>
      <xdr:row>62</xdr:row>
      <xdr:rowOff>107950</xdr:rowOff>
    </xdr:from>
    <xdr:to>
      <xdr:col>2</xdr:col>
      <xdr:colOff>143818</xdr:colOff>
      <xdr:row>65</xdr:row>
      <xdr:rowOff>158750</xdr:rowOff>
    </xdr:to>
    <xdr:pic>
      <xdr:nvPicPr>
        <xdr:cNvPr id="7" name="Picture 6">
          <a:extLst>
            <a:ext uri="{FF2B5EF4-FFF2-40B4-BE49-F238E27FC236}">
              <a16:creationId xmlns:a16="http://schemas.microsoft.com/office/drawing/2014/main" id="{6AF60E7C-4D45-4F4E-A8EE-4E26C914007C}"/>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9437" t="34012" r="5515" b="23887"/>
        <a:stretch/>
      </xdr:blipFill>
      <xdr:spPr>
        <a:xfrm>
          <a:off x="107950" y="10744200"/>
          <a:ext cx="1899593" cy="587375"/>
        </a:xfrm>
        <a:prstGeom prst="rect">
          <a:avLst/>
        </a:prstGeom>
      </xdr:spPr>
    </xdr:pic>
    <xdr:clientData/>
  </xdr:twoCellAnchor>
  <xdr:twoCellAnchor editAs="oneCell">
    <xdr:from>
      <xdr:col>2</xdr:col>
      <xdr:colOff>203200</xdr:colOff>
      <xdr:row>68</xdr:row>
      <xdr:rowOff>9596</xdr:rowOff>
    </xdr:from>
    <xdr:to>
      <xdr:col>2</xdr:col>
      <xdr:colOff>1152525</xdr:colOff>
      <xdr:row>73</xdr:row>
      <xdr:rowOff>608</xdr:rowOff>
    </xdr:to>
    <xdr:pic>
      <xdr:nvPicPr>
        <xdr:cNvPr id="8" name="Picture 7">
          <a:extLst>
            <a:ext uri="{FF2B5EF4-FFF2-40B4-BE49-F238E27FC236}">
              <a16:creationId xmlns:a16="http://schemas.microsoft.com/office/drawing/2014/main" id="{FA59BC33-FC55-4A63-AE52-E220EC6B955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070100" y="11712646"/>
          <a:ext cx="952500" cy="88001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694267</xdr:colOff>
      <xdr:row>37</xdr:row>
      <xdr:rowOff>29632</xdr:rowOff>
    </xdr:from>
    <xdr:to>
      <xdr:col>2</xdr:col>
      <xdr:colOff>1206500</xdr:colOff>
      <xdr:row>41</xdr:row>
      <xdr:rowOff>163342</xdr:rowOff>
    </xdr:to>
    <xdr:pic>
      <xdr:nvPicPr>
        <xdr:cNvPr id="26" name="Picture 25" descr="Union Adapter PF NPT Female 3.jpg">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 cstate="email"/>
        <a:srcRect/>
        <a:stretch>
          <a:fillRect/>
        </a:stretch>
      </xdr:blipFill>
      <xdr:spPr>
        <a:xfrm>
          <a:off x="2500489" y="6062132"/>
          <a:ext cx="512233" cy="1002954"/>
        </a:xfrm>
        <a:prstGeom prst="rect">
          <a:avLst/>
        </a:prstGeom>
      </xdr:spPr>
    </xdr:pic>
    <xdr:clientData/>
  </xdr:twoCellAnchor>
  <xdr:twoCellAnchor>
    <xdr:from>
      <xdr:col>1</xdr:col>
      <xdr:colOff>24553</xdr:colOff>
      <xdr:row>0</xdr:row>
      <xdr:rowOff>203479</xdr:rowOff>
    </xdr:from>
    <xdr:to>
      <xdr:col>2</xdr:col>
      <xdr:colOff>1630680</xdr:colOff>
      <xdr:row>0</xdr:row>
      <xdr:rowOff>477799</xdr:rowOff>
    </xdr:to>
    <xdr:grpSp>
      <xdr:nvGrpSpPr>
        <xdr:cNvPr id="14" name="Group 13">
          <a:extLst>
            <a:ext uri="{FF2B5EF4-FFF2-40B4-BE49-F238E27FC236}">
              <a16:creationId xmlns:a16="http://schemas.microsoft.com/office/drawing/2014/main" id="{00000000-0008-0000-0900-00000E000000}"/>
            </a:ext>
          </a:extLst>
        </xdr:cNvPr>
        <xdr:cNvGrpSpPr/>
      </xdr:nvGrpSpPr>
      <xdr:grpSpPr>
        <a:xfrm>
          <a:off x="94403" y="200304"/>
          <a:ext cx="3400002" cy="267970"/>
          <a:chOff x="83820" y="203480"/>
          <a:chExt cx="3375660" cy="274320"/>
        </a:xfrm>
      </xdr:grpSpPr>
      <xdr:sp macro="" textlink="">
        <xdr:nvSpPr>
          <xdr:cNvPr id="16" name="TextBox 15">
            <a:hlinkClick xmlns:r="http://schemas.openxmlformats.org/officeDocument/2006/relationships" r:id="rId2" tooltip="Return to Menu"/>
            <a:extLst>
              <a:ext uri="{FF2B5EF4-FFF2-40B4-BE49-F238E27FC236}">
                <a16:creationId xmlns:a16="http://schemas.microsoft.com/office/drawing/2014/main" id="{00000000-0008-0000-0900-000010000000}"/>
              </a:ext>
            </a:extLst>
          </xdr:cNvPr>
          <xdr:cNvSpPr txBox="1"/>
        </xdr:nvSpPr>
        <xdr:spPr>
          <a:xfrm>
            <a:off x="8382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17" name="TextBox 16">
            <a:hlinkClick xmlns:r="http://schemas.openxmlformats.org/officeDocument/2006/relationships" r:id="rId3" tooltip="Go To Bill of Materials"/>
            <a:extLst>
              <a:ext uri="{FF2B5EF4-FFF2-40B4-BE49-F238E27FC236}">
                <a16:creationId xmlns:a16="http://schemas.microsoft.com/office/drawing/2014/main" id="{00000000-0008-0000-0900-000011000000}"/>
              </a:ext>
            </a:extLst>
          </xdr:cNvPr>
          <xdr:cNvSpPr txBox="1"/>
        </xdr:nvSpPr>
        <xdr:spPr>
          <a:xfrm>
            <a:off x="185928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8</xdr:col>
      <xdr:colOff>110067</xdr:colOff>
      <xdr:row>61</xdr:row>
      <xdr:rowOff>50801</xdr:rowOff>
    </xdr:from>
    <xdr:to>
      <xdr:col>10</xdr:col>
      <xdr:colOff>905934</xdr:colOff>
      <xdr:row>62</xdr:row>
      <xdr:rowOff>138854</xdr:rowOff>
    </xdr:to>
    <xdr:sp macro="" textlink="">
      <xdr:nvSpPr>
        <xdr:cNvPr id="18" name="TextBox 17">
          <a:hlinkClick xmlns:r="http://schemas.openxmlformats.org/officeDocument/2006/relationships" r:id="rId4" tooltip="Return To Top of Page"/>
          <a:extLst>
            <a:ext uri="{FF2B5EF4-FFF2-40B4-BE49-F238E27FC236}">
              <a16:creationId xmlns:a16="http://schemas.microsoft.com/office/drawing/2014/main" id="{00000000-0008-0000-0900-000012000000}"/>
            </a:ext>
          </a:extLst>
        </xdr:cNvPr>
        <xdr:cNvSpPr txBox="1"/>
      </xdr:nvSpPr>
      <xdr:spPr>
        <a:xfrm>
          <a:off x="9592734" y="10439401"/>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1</xdr:col>
      <xdr:colOff>606777</xdr:colOff>
      <xdr:row>55</xdr:row>
      <xdr:rowOff>145187</xdr:rowOff>
    </xdr:from>
    <xdr:to>
      <xdr:col>2</xdr:col>
      <xdr:colOff>1827422</xdr:colOff>
      <xdr:row>63</xdr:row>
      <xdr:rowOff>171450</xdr:rowOff>
    </xdr:to>
    <xdr:pic>
      <xdr:nvPicPr>
        <xdr:cNvPr id="25" name="Picture 24" descr="Adaptor Union Kits PF  Series.png">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5" cstate="email"/>
        <a:stretch>
          <a:fillRect/>
        </a:stretch>
      </xdr:blipFill>
      <xdr:spPr>
        <a:xfrm>
          <a:off x="606777" y="8287298"/>
          <a:ext cx="3029689" cy="1265923"/>
        </a:xfrm>
        <a:prstGeom prst="rect">
          <a:avLst/>
        </a:prstGeom>
      </xdr:spPr>
    </xdr:pic>
    <xdr:clientData/>
  </xdr:twoCellAnchor>
  <xdr:twoCellAnchor editAs="oneCell">
    <xdr:from>
      <xdr:col>2</xdr:col>
      <xdr:colOff>194028</xdr:colOff>
      <xdr:row>21</xdr:row>
      <xdr:rowOff>102349</xdr:rowOff>
    </xdr:from>
    <xdr:to>
      <xdr:col>2</xdr:col>
      <xdr:colOff>1543050</xdr:colOff>
      <xdr:row>27</xdr:row>
      <xdr:rowOff>164884</xdr:rowOff>
    </xdr:to>
    <xdr:pic>
      <xdr:nvPicPr>
        <xdr:cNvPr id="15" name="Picture 14">
          <a:extLst>
            <a:ext uri="{FF2B5EF4-FFF2-40B4-BE49-F238E27FC236}">
              <a16:creationId xmlns:a16="http://schemas.microsoft.com/office/drawing/2014/main" id="{6C77DD0B-C30A-459C-BFDF-2EE33D31057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1000" t="28142" r="24000" b="24143"/>
        <a:stretch/>
      </xdr:blipFill>
      <xdr:spPr>
        <a:xfrm>
          <a:off x="1997428" y="3334499"/>
          <a:ext cx="1349022" cy="1129335"/>
        </a:xfrm>
        <a:prstGeom prst="rect">
          <a:avLst/>
        </a:prstGeom>
      </xdr:spPr>
    </xdr:pic>
    <xdr:clientData/>
  </xdr:twoCellAnchor>
  <xdr:twoCellAnchor editAs="oneCell">
    <xdr:from>
      <xdr:col>2</xdr:col>
      <xdr:colOff>412750</xdr:colOff>
      <xdr:row>44</xdr:row>
      <xdr:rowOff>88900</xdr:rowOff>
    </xdr:from>
    <xdr:to>
      <xdr:col>2</xdr:col>
      <xdr:colOff>1625600</xdr:colOff>
      <xdr:row>48</xdr:row>
      <xdr:rowOff>297</xdr:rowOff>
    </xdr:to>
    <xdr:pic>
      <xdr:nvPicPr>
        <xdr:cNvPr id="20" name="Picture 19">
          <a:extLst>
            <a:ext uri="{FF2B5EF4-FFF2-40B4-BE49-F238E27FC236}">
              <a16:creationId xmlns:a16="http://schemas.microsoft.com/office/drawing/2014/main" id="{CB13517D-2E03-4D69-AF52-2650DECB2932}"/>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7285" t="25857" r="17000" b="25429"/>
        <a:stretch/>
      </xdr:blipFill>
      <xdr:spPr>
        <a:xfrm>
          <a:off x="2216150" y="6165850"/>
          <a:ext cx="1219200" cy="848022"/>
        </a:xfrm>
        <a:prstGeom prst="rect">
          <a:avLst/>
        </a:prstGeom>
      </xdr:spPr>
    </xdr:pic>
    <xdr:clientData/>
  </xdr:twoCellAnchor>
  <xdr:twoCellAnchor editAs="oneCell">
    <xdr:from>
      <xdr:col>2</xdr:col>
      <xdr:colOff>63500</xdr:colOff>
      <xdr:row>10</xdr:row>
      <xdr:rowOff>32856</xdr:rowOff>
    </xdr:from>
    <xdr:to>
      <xdr:col>2</xdr:col>
      <xdr:colOff>1724025</xdr:colOff>
      <xdr:row>18</xdr:row>
      <xdr:rowOff>169478</xdr:rowOff>
    </xdr:to>
    <xdr:pic>
      <xdr:nvPicPr>
        <xdr:cNvPr id="2" name="Picture 1">
          <a:extLst>
            <a:ext uri="{FF2B5EF4-FFF2-40B4-BE49-F238E27FC236}">
              <a16:creationId xmlns:a16="http://schemas.microsoft.com/office/drawing/2014/main" id="{C375F23C-962B-4843-91C0-1FB38B939EAF}"/>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8567" t="24436" r="28582" b="9774"/>
        <a:stretch/>
      </xdr:blipFill>
      <xdr:spPr>
        <a:xfrm>
          <a:off x="1930400" y="1106006"/>
          <a:ext cx="1657350" cy="160982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2" displayName="Table32" ref="D2:K28" totalsRowShown="0">
  <tableColumns count="8">
    <tableColumn id="1" xr3:uid="{00000000-0010-0000-0000-000001000000}" name="Part Number" dataDxfId="60"/>
    <tableColumn id="2" xr3:uid="{00000000-0010-0000-0000-000002000000}" name="Size mm / in"/>
    <tableColumn id="3" xr3:uid="{00000000-0010-0000-0000-000003000000}" name="Additonal Info"/>
    <tableColumn id="4" xr3:uid="{00000000-0010-0000-0000-000004000000}" name="Lot Size"/>
    <tableColumn id="6" xr3:uid="{00000000-0010-0000-0000-000006000000}" name="Qty" dataDxfId="59"/>
    <tableColumn id="5" xr3:uid="{00000000-0010-0000-0000-000005000000}" name="Your Price" dataDxfId="58" dataCellStyle="Currency">
      <calculatedColumnFormula>VLOOKUP(D2,#REF!,5,FALSE)</calculatedColumnFormula>
    </tableColumn>
    <tableColumn id="8" xr3:uid="{2A73450C-8422-4DFC-97AD-02BBC8F7008E}" name="List Price" dataDxfId="57" dataCellStyle="Currency">
      <calculatedColumnFormula>VLOOKUP(Table32[[#This Row],[Part Number]],'2023 Pricing Rework'!$B$31:$F$754,4,FALSE)</calculatedColumnFormula>
    </tableColumn>
    <tableColumn id="7" xr3:uid="{00000000-0010-0000-0000-000007000000}" name="Total" dataDxfId="56">
      <calculatedColumnFormula>Table32[[#This Row],[Your Price]]*Table32[[#This Row],[Qty]]</calculatedColumnFormula>
    </tableColumn>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33713" displayName="Table33713" ref="D2:K19" totalsRowShown="0" headerRowDxfId="7">
  <tableColumns count="8">
    <tableColumn id="1" xr3:uid="{00000000-0010-0000-0900-000001000000}" name="Part Number" dataDxfId="6"/>
    <tableColumn id="2" xr3:uid="{00000000-0010-0000-0900-000002000000}" name="Size mm / in"/>
    <tableColumn id="3" xr3:uid="{00000000-0010-0000-0900-000003000000}" name="Additonal Info" dataDxfId="5"/>
    <tableColumn id="4" xr3:uid="{00000000-0010-0000-0900-000004000000}" name="Lot Size" dataDxfId="4"/>
    <tableColumn id="6" xr3:uid="{00000000-0010-0000-0900-000006000000}" name="Qty" dataDxfId="3"/>
    <tableColumn id="7" xr3:uid="{00000000-0010-0000-0900-000007000000}" name="Your Price" dataDxfId="2" dataCellStyle="Currency"/>
    <tableColumn id="8" xr3:uid="{4305162B-FE8E-4D33-962C-C99C81BF4286}" name="List Price" dataDxfId="1" dataCellStyle="Currency">
      <calculatedColumnFormula>VLOOKUP(Table33713[[#This Row],[Part Number]],'2023 Pricing Rework'!$B$31:$F$754,4,FALSE)</calculatedColumnFormula>
    </tableColumn>
    <tableColumn id="5" xr3:uid="{00000000-0010-0000-0900-000005000000}" name="Total" dataDxfId="0" dataCellStyle="Currency">
      <calculatedColumnFormula>VLOOKUP(D2,#REF!,5,FALSE)</calculatedColumnFormula>
    </tableColumn>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3" displayName="Table33" ref="D2:K58" totalsRowShown="0">
  <tableColumns count="8">
    <tableColumn id="1" xr3:uid="{00000000-0010-0000-0100-000001000000}" name="Part Number" dataDxfId="55"/>
    <tableColumn id="2" xr3:uid="{00000000-0010-0000-0100-000002000000}" name="Size mm / in"/>
    <tableColumn id="3" xr3:uid="{00000000-0010-0000-0100-000003000000}" name="Additonal Info"/>
    <tableColumn id="4" xr3:uid="{00000000-0010-0000-0100-000004000000}" name="Lot Size"/>
    <tableColumn id="6" xr3:uid="{00000000-0010-0000-0100-000006000000}" name="Qty" dataDxfId="54"/>
    <tableColumn id="5" xr3:uid="{00000000-0010-0000-0100-000005000000}" name="Your Price" dataDxfId="53" dataCellStyle="Currency">
      <calculatedColumnFormula>VLOOKUP(D2,#REF!,5,FALSE)</calculatedColumnFormula>
    </tableColumn>
    <tableColumn id="8" xr3:uid="{E8F41DE1-3350-454C-B204-5D500133C9E1}" name="List Price" dataDxfId="52" dataCellStyle="Currency">
      <calculatedColumnFormula>VLOOKUP(Table33[[#This Row],[Part Number]],'2023 Pricing Rework'!$B$31:$F$754,4,FALSE)</calculatedColumnFormula>
    </tableColumn>
    <tableColumn id="7" xr3:uid="{00000000-0010-0000-0100-000007000000}" name="Total" dataCellStyle="Currency">
      <calculatedColumnFormula>Table33[[#This Row],[Your Price]]*Table33[[#This Row],[Qty]]</calculatedColumnFormula>
    </tableColumn>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e339" displayName="Table339" ref="D2:K56" totalsRowShown="0">
  <tableColumns count="8">
    <tableColumn id="1" xr3:uid="{00000000-0010-0000-0200-000001000000}" name="Part Number" dataDxfId="51"/>
    <tableColumn id="2" xr3:uid="{00000000-0010-0000-0200-000002000000}" name="Size mm / in"/>
    <tableColumn id="3" xr3:uid="{00000000-0010-0000-0200-000003000000}" name=" Size mm / in"/>
    <tableColumn id="4" xr3:uid="{00000000-0010-0000-0200-000004000000}" name="Lot Size" dataDxfId="50"/>
    <tableColumn id="6" xr3:uid="{00000000-0010-0000-0200-000006000000}" name="Qty" dataDxfId="49"/>
    <tableColumn id="7" xr3:uid="{00000000-0010-0000-0200-000007000000}" name="Your Price" dataDxfId="48" dataCellStyle="Currency"/>
    <tableColumn id="8" xr3:uid="{E5AE53CF-3AEB-4B1D-8551-C0174AAA000F}" name="List Price" dataDxfId="47" dataCellStyle="Currency">
      <calculatedColumnFormula>VLOOKUP(Table339[[#This Row],[Part Number]],'2023 Pricing Rework'!$B$31:$F$754,4,FALSE)</calculatedColumnFormula>
    </tableColumn>
    <tableColumn id="5" xr3:uid="{00000000-0010-0000-0200-000005000000}" name="Total" dataDxfId="46" dataCellStyle="Currency">
      <calculatedColumnFormula>VLOOKUP(D2,#REF!,5,FALSE)</calculatedColumnFormula>
    </tableColumn>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Table3310" displayName="Table3310" ref="D2:K64" totalsRowShown="0">
  <tableColumns count="8">
    <tableColumn id="1" xr3:uid="{00000000-0010-0000-0300-000001000000}" name="Part Number" dataDxfId="45"/>
    <tableColumn id="2" xr3:uid="{00000000-0010-0000-0300-000002000000}" name="Size mm / in"/>
    <tableColumn id="3" xr3:uid="{00000000-0010-0000-0300-000003000000}" name=" Size mm / in" dataDxfId="44"/>
    <tableColumn id="4" xr3:uid="{00000000-0010-0000-0300-000004000000}" name="Lot Size" dataDxfId="43"/>
    <tableColumn id="6" xr3:uid="{00000000-0010-0000-0300-000006000000}" name="Qty" dataDxfId="42"/>
    <tableColumn id="7" xr3:uid="{00000000-0010-0000-0300-000007000000}" name="Your Price" dataDxfId="41" dataCellStyle="Currency"/>
    <tableColumn id="8" xr3:uid="{6C8DDD01-88D5-47E0-BA44-890A5A89073B}" name="List Price" dataDxfId="40" dataCellStyle="Currency">
      <calculatedColumnFormula>VLOOKUP(Table3310[[#This Row],[Part Number]],'2023 Pricing Rework'!$B$31:$F$754,4,FALSE)</calculatedColumnFormula>
    </tableColumn>
    <tableColumn id="5" xr3:uid="{00000000-0010-0000-0300-000005000000}" name="Total" dataDxfId="39" dataCellStyle="Currency">
      <calculatedColumnFormula>VLOOKUP(D2,#REF!,5,FALSE)</calculatedColumnFormula>
    </tableColumn>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36" displayName="Table336" ref="D2:K80" totalsRowShown="0">
  <tableColumns count="8">
    <tableColumn id="1" xr3:uid="{00000000-0010-0000-0400-000001000000}" name="Part Number" dataDxfId="38"/>
    <tableColumn id="2" xr3:uid="{00000000-0010-0000-0400-000002000000}" name="Size mm / in"/>
    <tableColumn id="3" xr3:uid="{00000000-0010-0000-0400-000003000000}" name="Additonal Info"/>
    <tableColumn id="8" xr3:uid="{00000000-0010-0000-0400-000008000000}" name="Lot Size" dataDxfId="37"/>
    <tableColumn id="6" xr3:uid="{00000000-0010-0000-0400-000006000000}" name="Qty" dataDxfId="36"/>
    <tableColumn id="4" xr3:uid="{00000000-0010-0000-0400-000004000000}" name="Your Price"/>
    <tableColumn id="7" xr3:uid="{6C67C2C9-171A-462D-B119-491A069A6674}" name="List Price" dataDxfId="35">
      <calculatedColumnFormula>VLOOKUP(Table336[[#This Row],[Part Number]],'2023 Pricing Rework'!$B$31:$F$754,4, FALSE)</calculatedColumnFormula>
    </tableColumn>
    <tableColumn id="5" xr3:uid="{00000000-0010-0000-0400-000005000000}" name="Total" dataDxfId="34" dataCellStyle="Currency">
      <calculatedColumnFormula>VLOOKUP(D2,#REF!,5,FALSE)</calculatedColumnFormula>
    </tableColumn>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able3311" displayName="Table3311" ref="D2:K61" totalsRowShown="0">
  <tableColumns count="8">
    <tableColumn id="1" xr3:uid="{00000000-0010-0000-0500-000001000000}" name="Part Number" dataDxfId="33"/>
    <tableColumn id="2" xr3:uid="{00000000-0010-0000-0500-000002000000}" name="Size mm / in"/>
    <tableColumn id="3" xr3:uid="{00000000-0010-0000-0500-000003000000}" name="NPT size inches"/>
    <tableColumn id="4" xr3:uid="{00000000-0010-0000-0500-000004000000}" name="Lot Size" dataDxfId="32"/>
    <tableColumn id="6" xr3:uid="{00000000-0010-0000-0500-000006000000}" name="Qty" dataDxfId="31"/>
    <tableColumn id="7" xr3:uid="{00000000-0010-0000-0500-000007000000}" name="Your Price" dataDxfId="30" dataCellStyle="Currency"/>
    <tableColumn id="8" xr3:uid="{49E75C3D-BE36-49BD-AA0A-D40EE07163D2}" name="List Price" dataDxfId="29" dataCellStyle="Currency">
      <calculatedColumnFormula>VLOOKUP(Table3311[[#This Row],[Part Number]],'2023 Pricing Rework'!$B$31:$F$754,4,FALSE)</calculatedColumnFormula>
    </tableColumn>
    <tableColumn id="5" xr3:uid="{00000000-0010-0000-0500-000005000000}" name="Total" dataDxfId="28" dataCellStyle="Currency">
      <calculatedColumnFormula>VLOOKUP(D2,#REF!,5,FALSE)</calculatedColumnFormula>
    </tableColumn>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Table35" displayName="Table35" ref="D2:K88" totalsRowShown="0">
  <tableColumns count="8">
    <tableColumn id="1" xr3:uid="{00000000-0010-0000-0600-000001000000}" name="Part Number" dataDxfId="27"/>
    <tableColumn id="2" xr3:uid="{00000000-0010-0000-0600-000002000000}" name="Size mm/in"/>
    <tableColumn id="3" xr3:uid="{00000000-0010-0000-0600-000003000000}" name="Additonal Info" dataDxfId="26"/>
    <tableColumn id="4" xr3:uid="{00000000-0010-0000-0600-000004000000}" name="Lot Size" dataDxfId="25"/>
    <tableColumn id="6" xr3:uid="{00000000-0010-0000-0600-000006000000}" name="Qty" dataDxfId="24"/>
    <tableColumn id="7" xr3:uid="{00000000-0010-0000-0600-000007000000}" name="Your Price" dataDxfId="23" dataCellStyle="Currency"/>
    <tableColumn id="8" xr3:uid="{D8A343D0-5009-4532-A6BD-A68DCD0658A6}" name="List Price" dataDxfId="22">
      <calculatedColumnFormula>VLOOKUP(Table35[[#This Row],[Part Number]],'2023 Pricing Rework'!$B$31:$F$754,4,FALSE)</calculatedColumnFormula>
    </tableColumn>
    <tableColumn id="5" xr3:uid="{00000000-0010-0000-0600-000005000000}" name="Total" dataDxfId="21" dataCellStyle="Currency">
      <calculatedColumnFormula>VLOOKUP(D2,#REF!,5,FALSE)</calculatedColumnFormula>
    </tableColumn>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7000000}" name="Table3514" displayName="Table3514" ref="D2:J70" totalsRowShown="0">
  <tableColumns count="7">
    <tableColumn id="1" xr3:uid="{00000000-0010-0000-0700-000001000000}" name="Part Number" dataDxfId="20"/>
    <tableColumn id="2" xr3:uid="{00000000-0010-0000-0700-000002000000}" name="Size mm / in"/>
    <tableColumn id="3" xr3:uid="{00000000-0010-0000-0700-000003000000}" name="Additonal Info" dataDxfId="19"/>
    <tableColumn id="4" xr3:uid="{00000000-0010-0000-0700-000004000000}" name="Lot Size" dataDxfId="18"/>
    <tableColumn id="6" xr3:uid="{00000000-0010-0000-0700-000006000000}" name="Qty" dataDxfId="17"/>
    <tableColumn id="7" xr3:uid="{00000000-0010-0000-0700-000007000000}" name="Your Price" dataDxfId="16" dataCellStyle="Currency"/>
    <tableColumn id="5" xr3:uid="{00000000-0010-0000-0700-000005000000}" name="Total" dataDxfId="15" dataCellStyle="Currency">
      <calculatedColumnFormula>VLOOKUP(D2,#REF!,5,FALSE)</calculatedColumnFormula>
    </tableColumn>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le337" displayName="Table337" ref="D2:K77" totalsRowShown="0">
  <tableColumns count="8">
    <tableColumn id="1" xr3:uid="{00000000-0010-0000-0800-000001000000}" name="Part Number" dataDxfId="14"/>
    <tableColumn id="2" xr3:uid="{00000000-0010-0000-0800-000002000000}" name="Size mm / in"/>
    <tableColumn id="3" xr3:uid="{00000000-0010-0000-0800-000003000000}" name="Additonal Info" dataDxfId="13"/>
    <tableColumn id="4" xr3:uid="{00000000-0010-0000-0800-000004000000}" name="Lot Size" dataDxfId="12"/>
    <tableColumn id="6" xr3:uid="{00000000-0010-0000-0800-000006000000}" name="Qty" dataDxfId="11"/>
    <tableColumn id="7" xr3:uid="{00000000-0010-0000-0800-000007000000}" name="Your Price" dataDxfId="10" dataCellStyle="Currency"/>
    <tableColumn id="8" xr3:uid="{84E7ADA0-EC94-4F41-B3BA-0C6D023E711C}" name="List Price" dataDxfId="9" dataCellStyle="Currency">
      <calculatedColumnFormula>VLOOKUP(Table337[[#This Row],[Part Number]],'2023 Pricing Rework'!$B$31:$F$754,4,FALSE)</calculatedColumnFormula>
    </tableColumn>
    <tableColumn id="5" xr3:uid="{00000000-0010-0000-0800-000005000000}" name="Total" dataDxfId="8" dataCellStyle="Currency">
      <calculatedColumnFormula>VLOOKUP(D2,#REF!,5,FALSE)</calculatedColumnFormula>
    </tableColumn>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9F0E0-226F-4C4E-8FA0-95936E5EF107}">
  <sheetPr codeName="Sheet8"/>
  <dimension ref="A1:T1267"/>
  <sheetViews>
    <sheetView topLeftCell="Y7" workbookViewId="0">
      <selection activeCell="S1" sqref="S1:X1048576"/>
    </sheetView>
  </sheetViews>
  <sheetFormatPr defaultRowHeight="14.5"/>
  <cols>
    <col min="1" max="1" width="3.7265625" style="49" hidden="1" customWidth="1"/>
    <col min="2" max="2" width="12.7265625" style="49" hidden="1" customWidth="1"/>
    <col min="3" max="3" width="4.7265625" style="49" hidden="1" customWidth="1"/>
    <col min="4" max="4" width="5.7265625" style="49" hidden="1" customWidth="1"/>
    <col min="5" max="5" width="18.26953125" style="188" hidden="1" customWidth="1"/>
    <col min="6" max="6" width="19.90625" style="188" hidden="1" customWidth="1"/>
    <col min="7" max="7" width="59.54296875" style="174" hidden="1" customWidth="1"/>
    <col min="8" max="8" width="8.7265625" style="175" hidden="1" customWidth="1"/>
    <col min="9" max="9" width="4.7265625" style="49" hidden="1" customWidth="1"/>
    <col min="10" max="10" width="22" style="49" hidden="1" customWidth="1"/>
    <col min="11" max="11" width="14.7265625" style="49" hidden="1" customWidth="1"/>
    <col min="12" max="12" width="10.453125" style="49" hidden="1" customWidth="1"/>
    <col min="13" max="14" width="10.08984375" style="49" hidden="1" customWidth="1"/>
    <col min="15" max="15" width="10.7265625" style="49" hidden="1" customWidth="1"/>
    <col min="16" max="16" width="2.54296875" style="49" hidden="1" customWidth="1"/>
    <col min="17" max="17" width="17.26953125" style="49" hidden="1" customWidth="1"/>
    <col min="18" max="18" width="37.453125" style="49" hidden="1" customWidth="1"/>
    <col min="19" max="19" width="17" style="187" hidden="1" customWidth="1"/>
    <col min="20" max="20" width="10.36328125" hidden="1" customWidth="1"/>
    <col min="21" max="24" width="0" hidden="1" customWidth="1"/>
  </cols>
  <sheetData>
    <row r="1" spans="1:20">
      <c r="A1"/>
      <c r="B1"/>
      <c r="C1"/>
      <c r="D1"/>
      <c r="E1" s="184"/>
      <c r="F1" s="184"/>
      <c r="G1" s="185"/>
      <c r="H1" s="190" t="s">
        <v>1125</v>
      </c>
      <c r="I1" s="191"/>
      <c r="J1" s="191"/>
      <c r="K1" s="192" t="s">
        <v>1126</v>
      </c>
      <c r="L1" s="192"/>
      <c r="M1" s="192"/>
      <c r="N1" s="277"/>
      <c r="O1" s="261"/>
      <c r="P1" s="261"/>
      <c r="Q1" s="262" t="s">
        <v>1807</v>
      </c>
      <c r="R1" s="261"/>
      <c r="S1" s="263"/>
    </row>
    <row r="2" spans="1:20">
      <c r="A2"/>
      <c r="B2"/>
      <c r="C2"/>
      <c r="D2"/>
      <c r="E2" s="184"/>
      <c r="F2" s="184"/>
      <c r="G2" s="185"/>
      <c r="H2" s="186"/>
      <c r="I2"/>
      <c r="J2"/>
      <c r="K2"/>
      <c r="L2"/>
      <c r="M2"/>
      <c r="N2" s="277"/>
      <c r="O2" s="261"/>
      <c r="P2" s="261"/>
      <c r="Q2" s="264">
        <v>44378</v>
      </c>
      <c r="R2" s="265" t="s">
        <v>1127</v>
      </c>
      <c r="S2" s="265" t="s">
        <v>1128</v>
      </c>
    </row>
    <row r="3" spans="1:20" ht="18">
      <c r="A3"/>
      <c r="B3"/>
      <c r="C3"/>
      <c r="D3"/>
      <c r="E3" s="184"/>
      <c r="F3" s="184"/>
      <c r="G3" s="307" t="s">
        <v>1819</v>
      </c>
      <c r="H3" s="186"/>
      <c r="I3"/>
      <c r="J3"/>
      <c r="K3"/>
      <c r="L3"/>
      <c r="M3"/>
      <c r="N3" s="277"/>
      <c r="O3" s="261"/>
      <c r="P3" s="261"/>
      <c r="Q3" s="264">
        <v>44404</v>
      </c>
      <c r="R3" s="265" t="s">
        <v>1129</v>
      </c>
      <c r="S3" s="266" t="s">
        <v>1128</v>
      </c>
    </row>
    <row r="4" spans="1:20" ht="26">
      <c r="A4"/>
      <c r="B4"/>
      <c r="C4"/>
      <c r="D4"/>
      <c r="E4" s="184"/>
      <c r="F4" s="184"/>
      <c r="G4" s="306" t="s">
        <v>1822</v>
      </c>
      <c r="H4" s="186"/>
      <c r="I4"/>
      <c r="J4"/>
      <c r="K4"/>
      <c r="L4"/>
      <c r="M4"/>
      <c r="N4" s="277"/>
      <c r="O4" s="261"/>
      <c r="P4" s="261"/>
      <c r="Q4" s="267">
        <v>44543</v>
      </c>
      <c r="R4" s="265" t="s">
        <v>1130</v>
      </c>
      <c r="S4" s="266" t="s">
        <v>1128</v>
      </c>
    </row>
    <row r="5" spans="1:20" ht="15" thickBot="1">
      <c r="A5"/>
      <c r="B5"/>
      <c r="C5"/>
      <c r="D5"/>
      <c r="E5" s="184"/>
      <c r="F5" s="184"/>
      <c r="G5" s="308" t="s">
        <v>1820</v>
      </c>
      <c r="H5" s="49"/>
      <c r="I5" s="189"/>
      <c r="J5" s="189"/>
      <c r="K5" s="189"/>
      <c r="L5" s="189"/>
      <c r="M5" s="189"/>
      <c r="N5" s="277"/>
      <c r="O5" s="261"/>
      <c r="P5" s="261"/>
      <c r="Q5" s="267">
        <v>44573</v>
      </c>
      <c r="R5" s="265" t="s">
        <v>1131</v>
      </c>
      <c r="S5" s="266" t="s">
        <v>1128</v>
      </c>
    </row>
    <row r="6" spans="1:20">
      <c r="A6"/>
      <c r="B6" t="s">
        <v>1872</v>
      </c>
      <c r="C6"/>
      <c r="D6"/>
      <c r="E6" s="184"/>
      <c r="F6" s="184" t="s">
        <v>1873</v>
      </c>
      <c r="G6" s="185"/>
      <c r="H6" s="186"/>
      <c r="I6"/>
      <c r="J6"/>
      <c r="K6"/>
      <c r="L6"/>
      <c r="M6"/>
      <c r="N6" s="278"/>
      <c r="O6" s="268"/>
      <c r="P6" s="268"/>
      <c r="Q6" s="267">
        <v>44586</v>
      </c>
      <c r="R6" s="265" t="s">
        <v>1808</v>
      </c>
      <c r="S6" s="266" t="s">
        <v>1128</v>
      </c>
    </row>
    <row r="7" spans="1:20">
      <c r="B7" s="309">
        <v>2811646280</v>
      </c>
      <c r="E7" s="188">
        <v>142.41999999999999</v>
      </c>
      <c r="F7" s="289">
        <v>106.82</v>
      </c>
      <c r="G7" s="174" t="s">
        <v>1821</v>
      </c>
      <c r="H7" s="186"/>
      <c r="I7"/>
      <c r="J7"/>
      <c r="K7"/>
      <c r="L7"/>
      <c r="M7"/>
      <c r="N7" s="279"/>
      <c r="O7" s="269"/>
      <c r="P7" s="265"/>
      <c r="Q7" s="267">
        <v>44603</v>
      </c>
      <c r="R7" s="265" t="s">
        <v>1809</v>
      </c>
      <c r="S7" s="266" t="s">
        <v>1128</v>
      </c>
    </row>
    <row r="8" spans="1:20">
      <c r="A8"/>
      <c r="B8" s="309">
        <v>2811746280</v>
      </c>
      <c r="C8"/>
      <c r="D8"/>
      <c r="E8" s="188">
        <v>209.41</v>
      </c>
      <c r="F8" s="289">
        <v>157.06</v>
      </c>
      <c r="G8" s="174" t="s">
        <v>1821</v>
      </c>
      <c r="N8" s="277"/>
      <c r="O8" s="261"/>
      <c r="P8" s="261"/>
      <c r="Q8" s="264">
        <v>44638</v>
      </c>
      <c r="R8" s="265" t="s">
        <v>1810</v>
      </c>
      <c r="S8" s="266" t="s">
        <v>1128</v>
      </c>
    </row>
    <row r="9" spans="1:20">
      <c r="A9"/>
      <c r="B9" s="309">
        <v>2811756280</v>
      </c>
      <c r="C9"/>
      <c r="D9"/>
      <c r="E9" s="188">
        <v>247.3</v>
      </c>
      <c r="F9" s="289">
        <v>185.47</v>
      </c>
      <c r="G9" s="174" t="s">
        <v>1821</v>
      </c>
      <c r="N9" s="277"/>
      <c r="O9" s="261"/>
      <c r="P9" s="261"/>
      <c r="Q9" s="270">
        <v>44662</v>
      </c>
      <c r="R9" s="271" t="s">
        <v>1811</v>
      </c>
      <c r="S9" s="272" t="s">
        <v>1128</v>
      </c>
    </row>
    <row r="10" spans="1:20" ht="29">
      <c r="B10" s="309"/>
      <c r="C10"/>
      <c r="D10"/>
      <c r="F10" s="289"/>
      <c r="M10" s="305" t="s">
        <v>66</v>
      </c>
      <c r="N10" s="287" t="s">
        <v>1817</v>
      </c>
      <c r="O10" s="261"/>
      <c r="P10" s="261"/>
      <c r="Q10" s="261"/>
      <c r="R10" s="261"/>
      <c r="S10" s="263"/>
    </row>
    <row r="11" spans="1:20" ht="15" thickBot="1">
      <c r="B11" s="309">
        <v>2811772891</v>
      </c>
      <c r="C11"/>
      <c r="D11"/>
      <c r="F11" s="289">
        <v>81.81</v>
      </c>
      <c r="G11" s="175" t="s">
        <v>66</v>
      </c>
      <c r="H11" s="199"/>
      <c r="M11" s="299"/>
      <c r="N11" s="290">
        <v>1.1000000000000001</v>
      </c>
      <c r="O11" s="261"/>
      <c r="P11" s="261"/>
      <c r="Q11" s="261"/>
      <c r="R11" s="261"/>
      <c r="S11" s="263"/>
    </row>
    <row r="12" spans="1:20" ht="62" customHeight="1">
      <c r="B12" s="309">
        <v>2810802800</v>
      </c>
      <c r="C12"/>
      <c r="D12"/>
      <c r="F12" s="289">
        <v>59.9</v>
      </c>
      <c r="G12" s="175" t="s">
        <v>66</v>
      </c>
      <c r="K12" s="288" t="s">
        <v>1816</v>
      </c>
      <c r="L12" s="285" t="s">
        <v>1814</v>
      </c>
      <c r="M12" s="285" t="s">
        <v>1813</v>
      </c>
      <c r="N12" s="285" t="s">
        <v>1812</v>
      </c>
      <c r="O12" s="261"/>
      <c r="P12" s="261"/>
      <c r="Q12" s="271" t="s">
        <v>1134</v>
      </c>
      <c r="R12" s="261"/>
      <c r="S12" s="263"/>
    </row>
    <row r="13" spans="1:20">
      <c r="B13" s="309">
        <v>4027132308</v>
      </c>
      <c r="C13"/>
      <c r="D13"/>
      <c r="F13" s="289">
        <v>75.67</v>
      </c>
      <c r="G13" s="175" t="s">
        <v>66</v>
      </c>
      <c r="J13" s="49" t="s">
        <v>1135</v>
      </c>
      <c r="K13" s="49">
        <v>1</v>
      </c>
      <c r="L13" s="280"/>
      <c r="M13" s="282"/>
      <c r="N13" s="280">
        <v>0.75</v>
      </c>
      <c r="O13" s="273"/>
      <c r="P13" s="261"/>
      <c r="Q13" s="353" t="s">
        <v>1136</v>
      </c>
      <c r="R13" s="354" t="s">
        <v>1137</v>
      </c>
      <c r="S13" s="355" t="s">
        <v>1844</v>
      </c>
      <c r="T13" t="s">
        <v>1865</v>
      </c>
    </row>
    <row r="14" spans="1:20">
      <c r="B14" s="309">
        <v>462360123</v>
      </c>
      <c r="C14"/>
      <c r="D14"/>
      <c r="F14" s="289">
        <v>14.73</v>
      </c>
      <c r="G14" s="175" t="s">
        <v>66</v>
      </c>
      <c r="H14" s="175" t="s">
        <v>1139</v>
      </c>
      <c r="J14" s="49" t="e">
        <f>B19*$K$13</f>
        <v>#VALUE!</v>
      </c>
      <c r="K14" s="210">
        <v>25.51</v>
      </c>
      <c r="L14" s="282">
        <f t="shared" ref="L14:M23" si="0">ROUND(M14,2)</f>
        <v>19.13</v>
      </c>
      <c r="M14" s="282">
        <f t="shared" si="0"/>
        <v>19.13</v>
      </c>
      <c r="N14" s="282">
        <f>K14*$N$13</f>
        <v>19.1325</v>
      </c>
      <c r="O14" s="271"/>
      <c r="P14" s="261"/>
      <c r="Q14" s="16" t="s">
        <v>1845</v>
      </c>
      <c r="R14" s="49" t="s">
        <v>488</v>
      </c>
      <c r="S14" s="343">
        <v>69.760000000000005</v>
      </c>
      <c r="T14">
        <v>76.73</v>
      </c>
    </row>
    <row r="15" spans="1:20">
      <c r="B15" s="309">
        <v>2810084100</v>
      </c>
      <c r="F15" s="289">
        <v>709.83</v>
      </c>
      <c r="G15" s="175" t="s">
        <v>66</v>
      </c>
      <c r="H15" s="175" t="s">
        <v>1139</v>
      </c>
      <c r="J15" s="49" t="e">
        <f>B20*$K$13</f>
        <v>#VALUE!</v>
      </c>
      <c r="K15" s="210">
        <v>31.63</v>
      </c>
      <c r="L15" s="282">
        <f t="shared" si="0"/>
        <v>23.72</v>
      </c>
      <c r="M15" s="282">
        <f t="shared" si="0"/>
        <v>23.72</v>
      </c>
      <c r="N15" s="282">
        <f t="shared" ref="N15:N23" si="1">K15*$N$13</f>
        <v>23.7225</v>
      </c>
      <c r="O15" s="271"/>
      <c r="P15" s="261"/>
      <c r="Q15" s="16" t="s">
        <v>1846</v>
      </c>
      <c r="R15" s="49" t="s">
        <v>1141</v>
      </c>
      <c r="S15" s="343">
        <v>13.39</v>
      </c>
    </row>
    <row r="16" spans="1:20" ht="16" thickBot="1">
      <c r="B16" s="195" t="s">
        <v>1132</v>
      </c>
      <c r="C16" s="196"/>
      <c r="D16" s="197"/>
      <c r="E16" s="198" t="s">
        <v>1133</v>
      </c>
      <c r="F16" s="198"/>
      <c r="H16" s="175" t="s">
        <v>1139</v>
      </c>
      <c r="J16" s="49" t="e">
        <f>B21*$K$13</f>
        <v>#VALUE!</v>
      </c>
      <c r="K16" s="210">
        <v>30.91</v>
      </c>
      <c r="L16" s="282">
        <f t="shared" si="0"/>
        <v>23.18</v>
      </c>
      <c r="M16" s="282">
        <f t="shared" si="0"/>
        <v>23.18</v>
      </c>
      <c r="N16" s="282">
        <f t="shared" si="1"/>
        <v>23.182500000000001</v>
      </c>
      <c r="O16" s="271"/>
      <c r="P16" s="261"/>
      <c r="Q16" s="16" t="s">
        <v>1847</v>
      </c>
      <c r="R16" s="49" t="s">
        <v>1143</v>
      </c>
      <c r="S16" s="343">
        <v>191.43</v>
      </c>
      <c r="T16">
        <v>210.57</v>
      </c>
    </row>
    <row r="17" spans="2:19" ht="58">
      <c r="B17" s="200"/>
      <c r="C17" s="201"/>
      <c r="F17" s="286" t="s">
        <v>1815</v>
      </c>
      <c r="H17" s="175" t="s">
        <v>1139</v>
      </c>
      <c r="J17" s="49" t="e">
        <f>B22*$K$13</f>
        <v>#VALUE!</v>
      </c>
      <c r="K17" s="210">
        <v>55.49</v>
      </c>
      <c r="L17" s="282">
        <f t="shared" si="0"/>
        <v>41.62</v>
      </c>
      <c r="M17" s="282">
        <f t="shared" si="0"/>
        <v>41.62</v>
      </c>
      <c r="N17" s="282">
        <f t="shared" si="1"/>
        <v>41.6175</v>
      </c>
      <c r="O17" s="271"/>
      <c r="P17" s="261"/>
      <c r="Q17" s="16" t="s">
        <v>314</v>
      </c>
      <c r="R17" s="49" t="s">
        <v>1848</v>
      </c>
      <c r="S17" s="343">
        <v>32.409999999999997</v>
      </c>
    </row>
    <row r="18" spans="2:19">
      <c r="B18" s="202"/>
      <c r="C18" s="203"/>
      <c r="D18" s="204"/>
      <c r="E18" s="205" t="s">
        <v>1860</v>
      </c>
      <c r="F18" s="284"/>
      <c r="H18" s="175" t="s">
        <v>24</v>
      </c>
      <c r="I18" s="173" t="s">
        <v>1147</v>
      </c>
      <c r="J18" s="362">
        <v>650010009</v>
      </c>
      <c r="K18" s="212">
        <v>21.54</v>
      </c>
      <c r="L18" s="282">
        <f t="shared" si="0"/>
        <v>16.16</v>
      </c>
      <c r="M18" s="282">
        <f t="shared" si="0"/>
        <v>16.16</v>
      </c>
      <c r="N18" s="282">
        <f t="shared" si="1"/>
        <v>16.155000000000001</v>
      </c>
      <c r="O18" s="271"/>
      <c r="P18" s="261"/>
      <c r="Q18" s="16" t="s">
        <v>1849</v>
      </c>
      <c r="R18" s="49" t="s">
        <v>1146</v>
      </c>
      <c r="S18" s="343">
        <v>40.18</v>
      </c>
    </row>
    <row r="19" spans="2:19">
      <c r="B19" s="206" t="s">
        <v>1861</v>
      </c>
      <c r="C19" s="203"/>
      <c r="D19" s="207" t="s">
        <v>25</v>
      </c>
      <c r="E19" s="208">
        <v>39.270000000000003</v>
      </c>
      <c r="F19" s="289">
        <v>29.45</v>
      </c>
      <c r="G19" s="209" t="s">
        <v>1138</v>
      </c>
      <c r="H19" s="175" t="s">
        <v>21</v>
      </c>
      <c r="I19" s="173" t="s">
        <v>1147</v>
      </c>
      <c r="J19" s="213">
        <v>650010043</v>
      </c>
      <c r="K19" s="212">
        <v>10.25</v>
      </c>
      <c r="L19" s="282">
        <f t="shared" si="0"/>
        <v>7.69</v>
      </c>
      <c r="M19" s="282">
        <f t="shared" si="0"/>
        <v>7.69</v>
      </c>
      <c r="N19" s="282">
        <f t="shared" si="1"/>
        <v>7.6875</v>
      </c>
      <c r="O19" s="271"/>
      <c r="P19" s="261"/>
      <c r="Q19" s="16" t="s">
        <v>312</v>
      </c>
      <c r="R19" s="49" t="s">
        <v>1850</v>
      </c>
      <c r="S19" s="343">
        <v>39.270000000000003</v>
      </c>
    </row>
    <row r="20" spans="2:19">
      <c r="B20" s="206" t="s">
        <v>1862</v>
      </c>
      <c r="C20" s="203"/>
      <c r="D20" s="207" t="s">
        <v>26</v>
      </c>
      <c r="E20" s="208">
        <v>22.63</v>
      </c>
      <c r="F20" s="289">
        <v>16.97</v>
      </c>
      <c r="G20" s="209" t="s">
        <v>1140</v>
      </c>
      <c r="H20" s="175" t="s">
        <v>22</v>
      </c>
      <c r="I20" s="173" t="s">
        <v>1147</v>
      </c>
      <c r="J20" s="49">
        <v>650010106</v>
      </c>
      <c r="K20" s="212">
        <v>17.82</v>
      </c>
      <c r="L20" s="282">
        <f t="shared" si="0"/>
        <v>13.37</v>
      </c>
      <c r="M20" s="282">
        <f t="shared" si="0"/>
        <v>13.37</v>
      </c>
      <c r="N20" s="282">
        <f t="shared" si="1"/>
        <v>13.365</v>
      </c>
      <c r="O20" s="271"/>
      <c r="P20" s="261"/>
      <c r="Q20" s="16" t="s">
        <v>1851</v>
      </c>
      <c r="R20" s="49" t="s">
        <v>1149</v>
      </c>
      <c r="S20" s="343">
        <v>13.17</v>
      </c>
    </row>
    <row r="21" spans="2:19">
      <c r="B21" s="206" t="s">
        <v>1863</v>
      </c>
      <c r="C21" s="203"/>
      <c r="D21" s="211" t="s">
        <v>96</v>
      </c>
      <c r="E21" s="208">
        <v>32.409999999999997</v>
      </c>
      <c r="F21" s="289">
        <v>24.31</v>
      </c>
      <c r="G21" s="209" t="s">
        <v>1142</v>
      </c>
      <c r="H21" s="175" t="s">
        <v>37</v>
      </c>
      <c r="I21" s="173" t="s">
        <v>1147</v>
      </c>
      <c r="J21" s="49">
        <v>650100087</v>
      </c>
      <c r="K21" s="212">
        <v>14.15</v>
      </c>
      <c r="L21" s="282">
        <f t="shared" si="0"/>
        <v>10.61</v>
      </c>
      <c r="M21" s="282">
        <f t="shared" si="0"/>
        <v>10.61</v>
      </c>
      <c r="N21" s="282">
        <f t="shared" si="1"/>
        <v>10.612500000000001</v>
      </c>
      <c r="O21" s="271"/>
      <c r="P21" s="261"/>
      <c r="Q21" s="16" t="s">
        <v>1852</v>
      </c>
      <c r="R21" s="49" t="s">
        <v>1150</v>
      </c>
      <c r="S21" s="343">
        <v>21.43</v>
      </c>
    </row>
    <row r="22" spans="2:19">
      <c r="B22" s="206" t="s">
        <v>1864</v>
      </c>
      <c r="C22" s="203"/>
      <c r="D22" s="207" t="s">
        <v>91</v>
      </c>
      <c r="E22" s="208">
        <v>73.040000000000006</v>
      </c>
      <c r="F22" s="289">
        <v>54.78</v>
      </c>
      <c r="G22" s="209" t="s">
        <v>1144</v>
      </c>
      <c r="H22" s="175" t="s">
        <v>36</v>
      </c>
      <c r="I22" s="173" t="s">
        <v>1147</v>
      </c>
      <c r="J22" s="49">
        <v>650100112</v>
      </c>
      <c r="K22" s="212">
        <v>8.9600000000000009</v>
      </c>
      <c r="L22" s="282">
        <f t="shared" si="0"/>
        <v>6.72</v>
      </c>
      <c r="M22" s="282">
        <f t="shared" si="0"/>
        <v>6.72</v>
      </c>
      <c r="N22" s="282">
        <f t="shared" si="1"/>
        <v>6.7200000000000006</v>
      </c>
      <c r="O22" s="271"/>
      <c r="P22" s="261"/>
      <c r="Q22" s="16" t="s">
        <v>1853</v>
      </c>
      <c r="R22" s="49" t="s">
        <v>1151</v>
      </c>
      <c r="S22" s="343">
        <v>17.02</v>
      </c>
    </row>
    <row r="23" spans="2:19">
      <c r="B23" s="206" t="s">
        <v>1866</v>
      </c>
      <c r="C23" s="203"/>
      <c r="D23" s="207"/>
      <c r="E23" s="208">
        <v>40.18</v>
      </c>
      <c r="F23" s="289">
        <v>30.14</v>
      </c>
      <c r="G23" s="209" t="s">
        <v>1146</v>
      </c>
      <c r="H23" s="175" t="s">
        <v>1156</v>
      </c>
      <c r="I23" s="173" t="s">
        <v>1147</v>
      </c>
      <c r="J23" s="49">
        <v>650100119</v>
      </c>
      <c r="K23" s="212">
        <v>27.34</v>
      </c>
      <c r="L23" s="282">
        <f t="shared" si="0"/>
        <v>20.51</v>
      </c>
      <c r="M23" s="282">
        <f t="shared" si="0"/>
        <v>20.51</v>
      </c>
      <c r="N23" s="282">
        <f t="shared" si="1"/>
        <v>20.504999999999999</v>
      </c>
      <c r="O23" s="271"/>
      <c r="P23" s="261"/>
      <c r="Q23" s="16" t="s">
        <v>1854</v>
      </c>
      <c r="R23" s="49" t="s">
        <v>1153</v>
      </c>
      <c r="S23" s="343">
        <v>11.59</v>
      </c>
    </row>
    <row r="24" spans="2:19">
      <c r="B24" s="206" t="s">
        <v>1867</v>
      </c>
      <c r="C24" s="203"/>
      <c r="D24" s="207"/>
      <c r="E24" s="208">
        <v>13.17</v>
      </c>
      <c r="F24" s="289">
        <v>9.8800000000000008</v>
      </c>
      <c r="G24" s="209" t="s">
        <v>1149</v>
      </c>
      <c r="L24" s="280"/>
      <c r="M24" s="280"/>
      <c r="N24" s="280"/>
      <c r="O24" s="271"/>
      <c r="P24" s="261"/>
      <c r="Q24" s="16" t="s">
        <v>1855</v>
      </c>
      <c r="R24" s="49" t="s">
        <v>1155</v>
      </c>
      <c r="S24" s="343">
        <v>32.89</v>
      </c>
    </row>
    <row r="25" spans="2:19">
      <c r="B25" s="206" t="s">
        <v>1868</v>
      </c>
      <c r="C25" s="203"/>
      <c r="D25" s="207"/>
      <c r="E25" s="208">
        <v>21.43</v>
      </c>
      <c r="F25" s="289">
        <v>16.079999999999998</v>
      </c>
      <c r="G25" s="209" t="s">
        <v>1150</v>
      </c>
      <c r="L25" s="280"/>
      <c r="M25" s="280"/>
      <c r="N25" s="280"/>
      <c r="O25" s="271"/>
      <c r="P25" s="261"/>
      <c r="Q25" s="16" t="s">
        <v>1856</v>
      </c>
      <c r="R25" s="49" t="s">
        <v>1857</v>
      </c>
      <c r="S25" s="343">
        <v>73.040000000000006</v>
      </c>
    </row>
    <row r="26" spans="2:19">
      <c r="B26" s="206" t="s">
        <v>1869</v>
      </c>
      <c r="E26" s="208">
        <v>17.02</v>
      </c>
      <c r="F26" s="289">
        <v>12.77</v>
      </c>
      <c r="G26" s="209" t="s">
        <v>1151</v>
      </c>
      <c r="L26" s="280"/>
      <c r="M26" s="280"/>
      <c r="N26" s="280"/>
      <c r="O26" s="271"/>
      <c r="P26" s="261"/>
      <c r="Q26" s="16" t="s">
        <v>313</v>
      </c>
      <c r="R26" s="49" t="s">
        <v>1858</v>
      </c>
      <c r="S26" s="343">
        <v>22.63</v>
      </c>
    </row>
    <row r="27" spans="2:19">
      <c r="B27" s="206" t="s">
        <v>1870</v>
      </c>
      <c r="E27" s="208">
        <v>11.59</v>
      </c>
      <c r="F27" s="289">
        <v>8.6999999999999993</v>
      </c>
      <c r="G27" s="209" t="s">
        <v>1153</v>
      </c>
      <c r="L27" s="280"/>
      <c r="M27" s="280"/>
      <c r="N27" s="280"/>
      <c r="O27" s="271"/>
      <c r="P27" s="261"/>
      <c r="Q27" s="16" t="s">
        <v>1859</v>
      </c>
      <c r="R27" t="s">
        <v>1145</v>
      </c>
      <c r="S27" s="343">
        <v>14.72</v>
      </c>
    </row>
    <row r="28" spans="2:19">
      <c r="B28" s="206" t="s">
        <v>1871</v>
      </c>
      <c r="E28" s="208">
        <v>32.89</v>
      </c>
      <c r="F28" s="289">
        <v>24.67</v>
      </c>
      <c r="G28" s="209" t="s">
        <v>1155</v>
      </c>
      <c r="L28" s="280"/>
      <c r="M28" s="280"/>
      <c r="N28" s="280"/>
      <c r="O28" s="271"/>
      <c r="P28" s="261"/>
      <c r="Q28" s="16">
        <v>1310072276</v>
      </c>
      <c r="R28" t="s">
        <v>1148</v>
      </c>
      <c r="S28" s="344">
        <v>3.26</v>
      </c>
    </row>
    <row r="29" spans="2:19">
      <c r="B29" s="206"/>
      <c r="L29" s="280"/>
      <c r="M29" s="280"/>
      <c r="N29" s="280"/>
      <c r="O29" s="271"/>
      <c r="P29" s="261"/>
      <c r="Q29" s="16">
        <v>1310072282</v>
      </c>
      <c r="R29" t="s">
        <v>489</v>
      </c>
      <c r="S29" s="344">
        <v>22.48</v>
      </c>
    </row>
    <row r="30" spans="2:19">
      <c r="G30" s="214" t="s">
        <v>1159</v>
      </c>
      <c r="L30" s="280"/>
      <c r="M30" s="280"/>
      <c r="N30" s="280"/>
      <c r="O30" s="271"/>
      <c r="P30" s="261"/>
      <c r="Q30" s="16">
        <v>1310072283</v>
      </c>
      <c r="R30" t="s">
        <v>490</v>
      </c>
      <c r="S30" s="344">
        <v>41</v>
      </c>
    </row>
    <row r="31" spans="2:19">
      <c r="B31" s="215">
        <v>2811100000</v>
      </c>
      <c r="C31" s="203"/>
      <c r="D31" s="203"/>
      <c r="E31" s="216">
        <f t="shared" ref="E31:E42" si="2">VLOOKUP(B31,$Q$14:$S$1164,3,FALSE)</f>
        <v>70.440000000000012</v>
      </c>
      <c r="F31" s="282">
        <v>52.83</v>
      </c>
      <c r="G31" s="174" t="s">
        <v>1160</v>
      </c>
      <c r="H31" s="175">
        <v>20</v>
      </c>
      <c r="L31" s="280"/>
      <c r="M31" s="280"/>
      <c r="N31" s="280"/>
      <c r="O31" s="271"/>
      <c r="P31" s="265"/>
      <c r="Q31" s="16">
        <v>1310072284</v>
      </c>
      <c r="R31" t="s">
        <v>1152</v>
      </c>
      <c r="S31" s="344">
        <v>47.54</v>
      </c>
    </row>
    <row r="32" spans="2:19">
      <c r="B32" s="215">
        <v>2811200000</v>
      </c>
      <c r="C32" s="203"/>
      <c r="D32" s="218"/>
      <c r="E32" s="216">
        <f t="shared" si="2"/>
        <v>108.35000000000001</v>
      </c>
      <c r="F32" s="282">
        <v>81.260000000000005</v>
      </c>
      <c r="G32" s="174" t="s">
        <v>1160</v>
      </c>
      <c r="H32" s="175">
        <v>25</v>
      </c>
      <c r="J32" s="49">
        <f t="shared" ref="J32:J43" si="3">B31*$K$13</f>
        <v>2811100000</v>
      </c>
      <c r="K32" s="217">
        <f t="shared" ref="K32:K43" si="4">VLOOKUP(J32,$Q$14:$S$1164,3,FALSE)</f>
        <v>70.440000000000012</v>
      </c>
      <c r="L32" s="282">
        <v>47.84</v>
      </c>
      <c r="M32" s="282">
        <f>ROUND(N32,2)</f>
        <v>52.83</v>
      </c>
      <c r="N32" s="282">
        <f>K32*$N$13</f>
        <v>52.830000000000013</v>
      </c>
      <c r="O32" s="271"/>
      <c r="P32" s="261"/>
      <c r="Q32" s="16">
        <v>1310072286</v>
      </c>
      <c r="R32" t="s">
        <v>1154</v>
      </c>
      <c r="S32" s="344">
        <v>91.16</v>
      </c>
    </row>
    <row r="33" spans="2:19">
      <c r="B33" s="215">
        <v>2811400000</v>
      </c>
      <c r="C33" s="203"/>
      <c r="D33" s="219"/>
      <c r="E33" s="216">
        <f t="shared" si="2"/>
        <v>161.22999999999999</v>
      </c>
      <c r="F33" s="282">
        <v>120.92</v>
      </c>
      <c r="G33" s="174" t="s">
        <v>1160</v>
      </c>
      <c r="H33" s="175">
        <v>40</v>
      </c>
      <c r="J33" s="49">
        <f t="shared" si="3"/>
        <v>2811200000</v>
      </c>
      <c r="K33" s="217">
        <f t="shared" si="4"/>
        <v>108.35000000000001</v>
      </c>
      <c r="L33" s="282">
        <v>73.59</v>
      </c>
      <c r="M33" s="282">
        <f t="shared" ref="M33:M45" si="5">ROUND(N33,2)</f>
        <v>81.260000000000005</v>
      </c>
      <c r="N33" s="282">
        <f t="shared" ref="N33:N43" si="6">K33*$N$13</f>
        <v>81.262500000000003</v>
      </c>
      <c r="O33" s="271"/>
      <c r="P33" s="261"/>
      <c r="Q33" s="16">
        <v>1310072287</v>
      </c>
      <c r="R33" t="s">
        <v>1157</v>
      </c>
      <c r="S33" s="344">
        <v>267.89999999999998</v>
      </c>
    </row>
    <row r="34" spans="2:19">
      <c r="B34" s="215">
        <v>2811500000</v>
      </c>
      <c r="C34" s="203"/>
      <c r="D34" s="219"/>
      <c r="E34" s="216">
        <f t="shared" si="2"/>
        <v>205.64</v>
      </c>
      <c r="F34" s="282">
        <v>154.22999999999999</v>
      </c>
      <c r="G34" s="174" t="s">
        <v>1160</v>
      </c>
      <c r="H34" s="175">
        <v>50</v>
      </c>
      <c r="J34" s="49">
        <f t="shared" si="3"/>
        <v>2811400000</v>
      </c>
      <c r="K34" s="217">
        <f t="shared" si="4"/>
        <v>161.22999999999999</v>
      </c>
      <c r="L34" s="282">
        <v>109.51</v>
      </c>
      <c r="M34" s="282">
        <f t="shared" si="5"/>
        <v>120.92</v>
      </c>
      <c r="N34" s="282">
        <f t="shared" si="6"/>
        <v>120.92249999999999</v>
      </c>
      <c r="O34" s="271"/>
      <c r="P34" s="261"/>
      <c r="Q34" s="345">
        <v>1310072288</v>
      </c>
      <c r="R34" s="49" t="s">
        <v>1158</v>
      </c>
      <c r="S34" s="344">
        <v>309.52999999999997</v>
      </c>
    </row>
    <row r="35" spans="2:19">
      <c r="B35" s="215">
        <v>2811600000</v>
      </c>
      <c r="C35" s="203"/>
      <c r="D35" s="219"/>
      <c r="E35" s="216">
        <f t="shared" si="2"/>
        <v>263.52</v>
      </c>
      <c r="F35" s="282">
        <v>197.64</v>
      </c>
      <c r="G35" s="174" t="s">
        <v>1160</v>
      </c>
      <c r="H35" s="175">
        <v>63</v>
      </c>
      <c r="J35" s="49">
        <f t="shared" si="3"/>
        <v>2811500000</v>
      </c>
      <c r="K35" s="217">
        <f t="shared" si="4"/>
        <v>205.64</v>
      </c>
      <c r="L35" s="282">
        <v>142.69</v>
      </c>
      <c r="M35" s="282">
        <f t="shared" si="5"/>
        <v>154.22999999999999</v>
      </c>
      <c r="N35" s="282">
        <f t="shared" si="6"/>
        <v>154.22999999999999</v>
      </c>
      <c r="O35" s="271"/>
      <c r="P35" s="261"/>
      <c r="Q35" s="16">
        <v>1310072289</v>
      </c>
      <c r="R35" t="s">
        <v>491</v>
      </c>
      <c r="S35" s="344">
        <v>984.59</v>
      </c>
    </row>
    <row r="36" spans="2:19">
      <c r="B36" s="215">
        <v>2811700000</v>
      </c>
      <c r="C36" s="203"/>
      <c r="D36" s="219"/>
      <c r="E36" s="216">
        <f t="shared" si="2"/>
        <v>346.51</v>
      </c>
      <c r="F36" s="282">
        <v>259.88</v>
      </c>
      <c r="G36" s="174" t="s">
        <v>1160</v>
      </c>
      <c r="H36" s="175">
        <v>80</v>
      </c>
      <c r="J36" s="49">
        <f t="shared" si="3"/>
        <v>2811600000</v>
      </c>
      <c r="K36" s="217">
        <f t="shared" si="4"/>
        <v>263.52</v>
      </c>
      <c r="L36" s="282">
        <v>188.23</v>
      </c>
      <c r="M36" s="282">
        <f t="shared" si="5"/>
        <v>197.64</v>
      </c>
      <c r="N36" s="282">
        <f t="shared" si="6"/>
        <v>197.64</v>
      </c>
      <c r="O36" s="271"/>
      <c r="P36" s="261"/>
      <c r="Q36" s="16">
        <v>1310072290</v>
      </c>
      <c r="R36" t="s">
        <v>1161</v>
      </c>
      <c r="S36" s="344">
        <v>41.28</v>
      </c>
    </row>
    <row r="37" spans="2:19">
      <c r="B37" s="215">
        <v>2811800000</v>
      </c>
      <c r="C37" s="203"/>
      <c r="D37" s="219"/>
      <c r="E37" s="216">
        <f t="shared" si="2"/>
        <v>436.8</v>
      </c>
      <c r="F37" s="282">
        <v>327.60000000000002</v>
      </c>
      <c r="G37" s="174" t="s">
        <v>1160</v>
      </c>
      <c r="H37" s="175">
        <v>100</v>
      </c>
      <c r="J37" s="49">
        <f t="shared" si="3"/>
        <v>2811700000</v>
      </c>
      <c r="K37" s="217">
        <f t="shared" si="4"/>
        <v>346.51</v>
      </c>
      <c r="L37" s="282">
        <v>247.5</v>
      </c>
      <c r="M37" s="282">
        <f t="shared" si="5"/>
        <v>259.88</v>
      </c>
      <c r="N37" s="282">
        <f t="shared" si="6"/>
        <v>259.88249999999999</v>
      </c>
      <c r="O37" s="271"/>
      <c r="P37" s="261"/>
      <c r="Q37" s="16">
        <v>1310072292</v>
      </c>
      <c r="R37" t="s">
        <v>1162</v>
      </c>
      <c r="S37" s="346">
        <v>47.56</v>
      </c>
    </row>
    <row r="38" spans="2:19">
      <c r="B38" s="215">
        <v>2811900000</v>
      </c>
      <c r="C38" s="203"/>
      <c r="D38" s="219"/>
      <c r="E38" s="216">
        <f t="shared" si="2"/>
        <v>899.27</v>
      </c>
      <c r="F38" s="282">
        <v>674.45</v>
      </c>
      <c r="G38" s="174" t="s">
        <v>1160</v>
      </c>
      <c r="H38" s="175">
        <v>158</v>
      </c>
      <c r="J38" s="49">
        <f t="shared" si="3"/>
        <v>2811800000</v>
      </c>
      <c r="K38" s="217">
        <f t="shared" si="4"/>
        <v>436.8</v>
      </c>
      <c r="L38" s="282">
        <v>284.87</v>
      </c>
      <c r="M38" s="282">
        <f t="shared" si="5"/>
        <v>327.60000000000002</v>
      </c>
      <c r="N38" s="282">
        <f t="shared" si="6"/>
        <v>327.60000000000002</v>
      </c>
      <c r="O38" s="271"/>
      <c r="P38" s="261"/>
      <c r="Q38" s="16">
        <v>1310072293</v>
      </c>
      <c r="R38" t="s">
        <v>492</v>
      </c>
      <c r="S38" s="344">
        <v>618.61</v>
      </c>
    </row>
    <row r="39" spans="2:19">
      <c r="B39" s="215">
        <v>2811106301</v>
      </c>
      <c r="C39" s="203"/>
      <c r="D39" s="219"/>
      <c r="E39" s="216">
        <f t="shared" si="2"/>
        <v>40.020000000000003</v>
      </c>
      <c r="F39" s="282">
        <v>30.02</v>
      </c>
      <c r="G39" s="220" t="s">
        <v>1163</v>
      </c>
      <c r="H39" s="175">
        <v>20</v>
      </c>
      <c r="J39" s="49">
        <f t="shared" si="3"/>
        <v>2811900000</v>
      </c>
      <c r="K39" s="217">
        <f t="shared" si="4"/>
        <v>899.27</v>
      </c>
      <c r="L39" s="282">
        <v>593.23</v>
      </c>
      <c r="M39" s="282">
        <f t="shared" si="5"/>
        <v>674.45</v>
      </c>
      <c r="N39" s="282">
        <f t="shared" si="6"/>
        <v>674.45249999999999</v>
      </c>
      <c r="O39" s="271"/>
      <c r="P39" s="261"/>
      <c r="Q39" s="16">
        <v>1310072294</v>
      </c>
      <c r="R39" t="s">
        <v>493</v>
      </c>
      <c r="S39" s="346">
        <v>947.89</v>
      </c>
    </row>
    <row r="40" spans="2:19">
      <c r="B40" s="215">
        <v>2811206301</v>
      </c>
      <c r="C40" s="203"/>
      <c r="D40" s="219"/>
      <c r="E40" s="216">
        <f t="shared" si="2"/>
        <v>50.059999999999995</v>
      </c>
      <c r="F40" s="282">
        <v>37.549999999999997</v>
      </c>
      <c r="G40" s="220" t="s">
        <v>1163</v>
      </c>
      <c r="H40" s="175">
        <v>25</v>
      </c>
      <c r="J40" s="49">
        <f t="shared" si="3"/>
        <v>2811106301</v>
      </c>
      <c r="K40" s="217">
        <f t="shared" si="4"/>
        <v>40.020000000000003</v>
      </c>
      <c r="L40" s="282">
        <v>26.1</v>
      </c>
      <c r="M40" s="282">
        <f t="shared" si="5"/>
        <v>30.02</v>
      </c>
      <c r="N40" s="282">
        <f t="shared" si="6"/>
        <v>30.015000000000001</v>
      </c>
      <c r="O40" s="271"/>
      <c r="P40" s="261"/>
      <c r="Q40" s="16">
        <v>1310072295</v>
      </c>
      <c r="R40" t="s">
        <v>494</v>
      </c>
      <c r="S40" s="344">
        <v>604.97</v>
      </c>
    </row>
    <row r="41" spans="2:19">
      <c r="B41" s="215">
        <v>2811106200</v>
      </c>
      <c r="C41" s="203"/>
      <c r="D41" s="219"/>
      <c r="E41" s="216">
        <f t="shared" si="2"/>
        <v>73.349999999999994</v>
      </c>
      <c r="F41" s="282">
        <v>55.01</v>
      </c>
      <c r="G41" s="174" t="s">
        <v>1164</v>
      </c>
      <c r="H41" s="175">
        <v>20</v>
      </c>
      <c r="J41" s="49">
        <f t="shared" si="3"/>
        <v>2811206301</v>
      </c>
      <c r="K41" s="217">
        <f t="shared" si="4"/>
        <v>50.059999999999995</v>
      </c>
      <c r="L41" s="282">
        <v>32.65</v>
      </c>
      <c r="M41" s="282">
        <f t="shared" si="5"/>
        <v>37.549999999999997</v>
      </c>
      <c r="N41" s="282">
        <f t="shared" si="6"/>
        <v>37.544999999999995</v>
      </c>
      <c r="O41" s="271"/>
      <c r="P41" s="261"/>
      <c r="Q41" s="16">
        <v>1310072296</v>
      </c>
      <c r="R41" t="s">
        <v>495</v>
      </c>
      <c r="S41" s="343">
        <v>81.99</v>
      </c>
    </row>
    <row r="42" spans="2:19">
      <c r="B42" s="215">
        <v>2811406200</v>
      </c>
      <c r="C42" s="203"/>
      <c r="D42" s="219"/>
      <c r="E42" s="216">
        <f t="shared" si="2"/>
        <v>170.26999999999998</v>
      </c>
      <c r="F42" s="282">
        <v>127.7</v>
      </c>
      <c r="G42" s="174" t="s">
        <v>1164</v>
      </c>
      <c r="H42" s="175">
        <v>40</v>
      </c>
      <c r="J42" s="49">
        <f t="shared" si="3"/>
        <v>2811106200</v>
      </c>
      <c r="K42" s="217">
        <f t="shared" si="4"/>
        <v>73.349999999999994</v>
      </c>
      <c r="L42" s="282">
        <v>44.09</v>
      </c>
      <c r="M42" s="282">
        <f t="shared" si="5"/>
        <v>55.01</v>
      </c>
      <c r="N42" s="282">
        <f t="shared" si="6"/>
        <v>55.012499999999996</v>
      </c>
      <c r="O42" s="271"/>
      <c r="P42" s="261"/>
      <c r="Q42" s="16">
        <v>1310072297</v>
      </c>
      <c r="R42" t="s">
        <v>496</v>
      </c>
      <c r="S42" s="344">
        <v>177.12</v>
      </c>
    </row>
    <row r="43" spans="2:19">
      <c r="B43" s="215"/>
      <c r="C43" s="203"/>
      <c r="D43" s="219"/>
      <c r="E43" s="216"/>
      <c r="F43" s="216"/>
      <c r="J43" s="49">
        <f t="shared" si="3"/>
        <v>2811406200</v>
      </c>
      <c r="K43" s="217">
        <f t="shared" si="4"/>
        <v>170.26999999999998</v>
      </c>
      <c r="L43" s="282">
        <v>116.09</v>
      </c>
      <c r="M43" s="282">
        <f t="shared" si="5"/>
        <v>127.7</v>
      </c>
      <c r="N43" s="282">
        <f t="shared" si="6"/>
        <v>127.70249999999999</v>
      </c>
      <c r="O43" s="271"/>
      <c r="P43" s="261"/>
      <c r="Q43" s="16">
        <v>1310072363</v>
      </c>
      <c r="R43" t="s">
        <v>498</v>
      </c>
      <c r="S43" s="344">
        <v>31.17</v>
      </c>
    </row>
    <row r="44" spans="2:19">
      <c r="B44" s="215">
        <v>2811106100</v>
      </c>
      <c r="C44" s="203"/>
      <c r="D44" s="219"/>
      <c r="E44" s="216">
        <f t="shared" ref="E44:E66" si="7">VLOOKUP(B44,$Q$14:$S$1164,3,FALSE)</f>
        <v>63.79</v>
      </c>
      <c r="F44" s="216">
        <v>47.84</v>
      </c>
      <c r="G44" s="174" t="s">
        <v>1165</v>
      </c>
      <c r="H44" s="175">
        <v>20</v>
      </c>
      <c r="K44" s="217"/>
      <c r="L44" s="282"/>
      <c r="M44" s="282"/>
      <c r="N44" s="280"/>
      <c r="O44" s="271"/>
      <c r="P44" s="261"/>
      <c r="Q44" s="16">
        <v>1310072365</v>
      </c>
      <c r="R44" t="s">
        <v>497</v>
      </c>
      <c r="S44" s="346">
        <v>42.4</v>
      </c>
    </row>
    <row r="45" spans="2:19">
      <c r="B45" s="215">
        <v>2811206100</v>
      </c>
      <c r="C45" s="203"/>
      <c r="D45" s="219"/>
      <c r="E45" s="216">
        <f t="shared" si="7"/>
        <v>109.9</v>
      </c>
      <c r="F45" s="216">
        <v>82.43</v>
      </c>
      <c r="G45" s="174" t="s">
        <v>1165</v>
      </c>
      <c r="H45" s="175">
        <v>25</v>
      </c>
      <c r="J45" s="49">
        <f t="shared" ref="J45:J59" si="8">B44*$K$13</f>
        <v>2811106100</v>
      </c>
      <c r="K45" s="217">
        <f t="shared" ref="K45:K67" si="9">VLOOKUP(J45,$Q$14:$S$1164,3,FALSE)</f>
        <v>63.79</v>
      </c>
      <c r="L45" s="282">
        <v>43.26</v>
      </c>
      <c r="M45" s="282">
        <f t="shared" si="5"/>
        <v>47.84</v>
      </c>
      <c r="N45" s="282">
        <f>K45*$N$13</f>
        <v>47.842500000000001</v>
      </c>
      <c r="O45" s="271"/>
      <c r="P45" s="265"/>
      <c r="Q45" s="16">
        <v>1310072370</v>
      </c>
      <c r="R45" t="s">
        <v>499</v>
      </c>
      <c r="S45" s="344">
        <v>102.18</v>
      </c>
    </row>
    <row r="46" spans="2:19">
      <c r="B46" s="215">
        <v>2811406100</v>
      </c>
      <c r="C46" s="221"/>
      <c r="E46" s="216">
        <f t="shared" si="7"/>
        <v>170.26</v>
      </c>
      <c r="F46" s="216">
        <v>127.7</v>
      </c>
      <c r="G46" s="174" t="s">
        <v>1165</v>
      </c>
      <c r="H46" s="175">
        <v>40</v>
      </c>
      <c r="J46" s="49">
        <f t="shared" si="8"/>
        <v>2811206100</v>
      </c>
      <c r="K46" s="217">
        <f t="shared" si="9"/>
        <v>109.9</v>
      </c>
      <c r="L46" s="282">
        <v>66.55</v>
      </c>
      <c r="M46" s="282">
        <f t="shared" ref="M46" si="10">ROUND(N46,2)</f>
        <v>82.43</v>
      </c>
      <c r="N46" s="282">
        <f t="shared" ref="N46:N56" si="11">K46*$N$13</f>
        <v>82.425000000000011</v>
      </c>
      <c r="O46" s="271"/>
      <c r="P46" s="265"/>
      <c r="Q46" s="16">
        <v>1310072371</v>
      </c>
      <c r="R46" t="s">
        <v>500</v>
      </c>
      <c r="S46" s="344">
        <v>19.559999999999999</v>
      </c>
    </row>
    <row r="47" spans="2:19">
      <c r="B47" s="215">
        <v>2811506100</v>
      </c>
      <c r="C47" s="221"/>
      <c r="E47" s="216">
        <f t="shared" si="7"/>
        <v>218.79</v>
      </c>
      <c r="F47" s="216">
        <v>164.09</v>
      </c>
      <c r="G47" s="174" t="s">
        <v>1166</v>
      </c>
      <c r="H47" s="175">
        <v>50</v>
      </c>
      <c r="I47" s="173"/>
      <c r="J47" s="49">
        <f t="shared" si="8"/>
        <v>2811406100</v>
      </c>
      <c r="K47" s="217">
        <f t="shared" si="9"/>
        <v>170.26</v>
      </c>
      <c r="L47" s="282">
        <v>116.08</v>
      </c>
      <c r="M47" s="282">
        <f t="shared" ref="M47" si="12">ROUND(N47,2)</f>
        <v>127.7</v>
      </c>
      <c r="N47" s="282">
        <f t="shared" si="11"/>
        <v>127.69499999999999</v>
      </c>
      <c r="O47" s="271"/>
      <c r="P47" s="261"/>
      <c r="Q47" s="16">
        <v>1310072372</v>
      </c>
      <c r="R47" t="s">
        <v>501</v>
      </c>
      <c r="S47" s="346">
        <v>31.55</v>
      </c>
    </row>
    <row r="48" spans="2:19">
      <c r="B48" s="215">
        <v>2811606100</v>
      </c>
      <c r="C48" s="221"/>
      <c r="E48" s="216">
        <f t="shared" si="7"/>
        <v>288.62</v>
      </c>
      <c r="F48" s="216">
        <v>216.47</v>
      </c>
      <c r="G48" s="220" t="s">
        <v>1166</v>
      </c>
      <c r="H48" s="175">
        <v>63</v>
      </c>
      <c r="I48" s="173"/>
      <c r="J48" s="49">
        <f t="shared" si="8"/>
        <v>2811506100</v>
      </c>
      <c r="K48" s="217">
        <f t="shared" si="9"/>
        <v>218.79</v>
      </c>
      <c r="L48" s="282">
        <v>131.53</v>
      </c>
      <c r="M48" s="282">
        <f t="shared" ref="M48" si="13">ROUND(N48,2)</f>
        <v>164.09</v>
      </c>
      <c r="N48" s="282">
        <f t="shared" si="11"/>
        <v>164.0925</v>
      </c>
      <c r="O48" s="271"/>
      <c r="P48" s="261"/>
      <c r="Q48" s="16">
        <v>1310072373</v>
      </c>
      <c r="R48" t="s">
        <v>502</v>
      </c>
      <c r="S48" s="344">
        <v>597.54</v>
      </c>
    </row>
    <row r="49" spans="2:19">
      <c r="B49" s="215">
        <v>2811706100</v>
      </c>
      <c r="C49" s="221"/>
      <c r="E49" s="216">
        <f t="shared" si="7"/>
        <v>379.51</v>
      </c>
      <c r="F49" s="216">
        <v>284.63</v>
      </c>
      <c r="G49" s="220" t="s">
        <v>1166</v>
      </c>
      <c r="H49" s="175">
        <v>80</v>
      </c>
      <c r="I49" s="173"/>
      <c r="J49" s="49">
        <f t="shared" si="8"/>
        <v>2811606100</v>
      </c>
      <c r="K49" s="217">
        <f t="shared" si="9"/>
        <v>288.62</v>
      </c>
      <c r="L49" s="282">
        <v>170.91</v>
      </c>
      <c r="M49" s="282">
        <f t="shared" ref="M49" si="14">ROUND(N49,2)</f>
        <v>216.47</v>
      </c>
      <c r="N49" s="282">
        <f t="shared" si="11"/>
        <v>216.465</v>
      </c>
      <c r="O49" s="271"/>
      <c r="P49" s="261"/>
      <c r="Q49" s="16">
        <v>1310072374</v>
      </c>
      <c r="R49" t="s">
        <v>503</v>
      </c>
      <c r="S49" s="344">
        <v>713.79</v>
      </c>
    </row>
    <row r="50" spans="2:19">
      <c r="B50" s="215">
        <v>2811106705</v>
      </c>
      <c r="C50" s="173"/>
      <c r="D50" s="219"/>
      <c r="E50" s="216">
        <f t="shared" si="7"/>
        <v>35.93</v>
      </c>
      <c r="F50" s="216">
        <v>26.95</v>
      </c>
      <c r="G50" s="220" t="s">
        <v>1166</v>
      </c>
      <c r="H50" s="175">
        <v>20</v>
      </c>
      <c r="I50" s="173"/>
      <c r="J50" s="49">
        <f t="shared" si="8"/>
        <v>2811706100</v>
      </c>
      <c r="K50" s="217">
        <f t="shared" si="9"/>
        <v>379.51</v>
      </c>
      <c r="L50" s="282">
        <v>224.73</v>
      </c>
      <c r="M50" s="282">
        <f t="shared" ref="M50" si="15">ROUND(N50,2)</f>
        <v>284.63</v>
      </c>
      <c r="N50" s="282">
        <f t="shared" si="11"/>
        <v>284.63249999999999</v>
      </c>
      <c r="O50" s="271"/>
      <c r="P50" s="261"/>
      <c r="Q50" s="16">
        <v>1310072378</v>
      </c>
      <c r="R50" t="s">
        <v>504</v>
      </c>
      <c r="S50" s="344">
        <v>78.53</v>
      </c>
    </row>
    <row r="51" spans="2:19">
      <c r="B51" s="215">
        <v>2811206705</v>
      </c>
      <c r="C51" s="173"/>
      <c r="D51" s="218"/>
      <c r="E51" s="216">
        <f t="shared" si="7"/>
        <v>104.55000000000001</v>
      </c>
      <c r="F51" s="216">
        <v>78.41</v>
      </c>
      <c r="G51" s="174" t="s">
        <v>1167</v>
      </c>
      <c r="H51" s="175">
        <v>25</v>
      </c>
      <c r="J51" s="49">
        <f t="shared" si="8"/>
        <v>2811106705</v>
      </c>
      <c r="K51" s="217">
        <f t="shared" si="9"/>
        <v>35.93</v>
      </c>
      <c r="L51" s="282">
        <v>26.46</v>
      </c>
      <c r="M51" s="282">
        <f t="shared" ref="M51" si="16">ROUND(N51,2)</f>
        <v>26.95</v>
      </c>
      <c r="N51" s="282">
        <f t="shared" si="11"/>
        <v>26.947499999999998</v>
      </c>
      <c r="O51" s="271"/>
      <c r="P51" s="261"/>
      <c r="Q51" s="16">
        <v>1310072379</v>
      </c>
      <c r="R51" t="s">
        <v>505</v>
      </c>
      <c r="S51" s="344">
        <v>12.29</v>
      </c>
    </row>
    <row r="52" spans="2:19">
      <c r="B52" s="215">
        <v>2811112220</v>
      </c>
      <c r="C52" s="173"/>
      <c r="D52" s="218"/>
      <c r="E52" s="216">
        <f t="shared" si="7"/>
        <v>47.949999999999996</v>
      </c>
      <c r="F52" s="216">
        <v>35.96</v>
      </c>
      <c r="G52" s="174" t="s">
        <v>1168</v>
      </c>
      <c r="H52" s="175">
        <v>20</v>
      </c>
      <c r="J52" s="49">
        <f t="shared" si="8"/>
        <v>2811206705</v>
      </c>
      <c r="K52" s="217">
        <f t="shared" si="9"/>
        <v>104.55000000000001</v>
      </c>
      <c r="L52" s="282">
        <v>77</v>
      </c>
      <c r="M52" s="282">
        <f t="shared" ref="M52" si="17">ROUND(N52,2)</f>
        <v>78.41</v>
      </c>
      <c r="N52" s="282">
        <f t="shared" si="11"/>
        <v>78.412500000000009</v>
      </c>
      <c r="O52" s="271"/>
      <c r="P52" s="261"/>
      <c r="Q52" s="16">
        <v>1310072403</v>
      </c>
      <c r="R52" t="s">
        <v>506</v>
      </c>
      <c r="S52" s="344">
        <v>9.7100000000000009</v>
      </c>
    </row>
    <row r="53" spans="2:19">
      <c r="B53" s="215">
        <v>2811212220</v>
      </c>
      <c r="C53" s="173"/>
      <c r="D53" s="218"/>
      <c r="E53" s="216">
        <f t="shared" si="7"/>
        <v>51.239999999999995</v>
      </c>
      <c r="F53" s="216">
        <v>38.43</v>
      </c>
      <c r="G53" s="174" t="s">
        <v>1169</v>
      </c>
      <c r="H53" s="175">
        <v>25</v>
      </c>
      <c r="J53" s="49">
        <f t="shared" si="8"/>
        <v>2811112220</v>
      </c>
      <c r="K53" s="217">
        <f t="shared" si="9"/>
        <v>47.949999999999996</v>
      </c>
      <c r="L53" s="282">
        <v>37.159999999999997</v>
      </c>
      <c r="M53" s="282">
        <f t="shared" ref="M53" si="18">ROUND(N53,2)</f>
        <v>35.96</v>
      </c>
      <c r="N53" s="282">
        <f t="shared" si="11"/>
        <v>35.962499999999999</v>
      </c>
      <c r="O53" s="271"/>
      <c r="P53" s="261"/>
      <c r="Q53" s="16">
        <v>1310072884</v>
      </c>
      <c r="R53" t="s">
        <v>507</v>
      </c>
      <c r="S53" s="344">
        <v>28.89</v>
      </c>
    </row>
    <row r="54" spans="2:19">
      <c r="B54" s="215">
        <v>2811412220</v>
      </c>
      <c r="C54" s="173"/>
      <c r="D54" s="218"/>
      <c r="E54" s="216">
        <f t="shared" si="7"/>
        <v>44.69</v>
      </c>
      <c r="F54" s="216">
        <v>33.520000000000003</v>
      </c>
      <c r="G54" s="174" t="s">
        <v>1169</v>
      </c>
      <c r="H54" s="175">
        <v>40</v>
      </c>
      <c r="J54" s="49">
        <f t="shared" si="8"/>
        <v>2811212220</v>
      </c>
      <c r="K54" s="217">
        <f t="shared" si="9"/>
        <v>51.239999999999995</v>
      </c>
      <c r="L54" s="282">
        <v>39.69</v>
      </c>
      <c r="M54" s="282">
        <f t="shared" ref="M54" si="19">ROUND(N54,2)</f>
        <v>38.43</v>
      </c>
      <c r="N54" s="282">
        <f t="shared" si="11"/>
        <v>38.429999999999993</v>
      </c>
      <c r="O54" s="271"/>
      <c r="P54" s="261"/>
      <c r="Q54" s="16">
        <v>1310073077</v>
      </c>
      <c r="R54" t="s">
        <v>508</v>
      </c>
      <c r="S54" s="344">
        <v>20.69</v>
      </c>
    </row>
    <row r="55" spans="2:19">
      <c r="B55" s="215">
        <v>2811512220</v>
      </c>
      <c r="C55" s="173"/>
      <c r="D55" s="218"/>
      <c r="E55" s="216">
        <f t="shared" si="7"/>
        <v>77.63000000000001</v>
      </c>
      <c r="F55" s="216">
        <v>58.22</v>
      </c>
      <c r="G55" s="174" t="s">
        <v>1169</v>
      </c>
      <c r="H55" s="175">
        <v>50</v>
      </c>
      <c r="J55" s="49">
        <f t="shared" si="8"/>
        <v>2811412220</v>
      </c>
      <c r="K55" s="217">
        <f t="shared" si="9"/>
        <v>44.69</v>
      </c>
      <c r="L55" s="282">
        <v>34.619999999999997</v>
      </c>
      <c r="M55" s="282">
        <f t="shared" ref="M55" si="20">ROUND(N55,2)</f>
        <v>33.520000000000003</v>
      </c>
      <c r="N55" s="282">
        <f t="shared" si="11"/>
        <v>33.517499999999998</v>
      </c>
      <c r="O55" s="271"/>
      <c r="P55" s="261"/>
      <c r="Q55" s="16">
        <v>1310073099</v>
      </c>
      <c r="R55" t="s">
        <v>509</v>
      </c>
      <c r="S55" s="344">
        <v>1.94</v>
      </c>
    </row>
    <row r="56" spans="2:19">
      <c r="B56" s="215">
        <v>2811612220</v>
      </c>
      <c r="C56" s="173"/>
      <c r="D56" s="218"/>
      <c r="E56" s="216">
        <f t="shared" si="7"/>
        <v>159.38999999999999</v>
      </c>
      <c r="F56" s="216">
        <v>119.54</v>
      </c>
      <c r="G56" s="174" t="s">
        <v>1169</v>
      </c>
      <c r="H56" s="175">
        <v>63</v>
      </c>
      <c r="J56" s="49">
        <f t="shared" si="8"/>
        <v>2811512220</v>
      </c>
      <c r="K56" s="217">
        <f t="shared" si="9"/>
        <v>77.63000000000001</v>
      </c>
      <c r="L56" s="282">
        <v>60.14</v>
      </c>
      <c r="M56" s="282">
        <f t="shared" ref="M56" si="21">ROUND(N56,2)</f>
        <v>58.22</v>
      </c>
      <c r="N56" s="282">
        <f t="shared" si="11"/>
        <v>58.222500000000011</v>
      </c>
      <c r="O56" s="271"/>
      <c r="P56" s="261"/>
      <c r="Q56" s="16">
        <v>1310073161</v>
      </c>
      <c r="R56" t="s">
        <v>510</v>
      </c>
      <c r="S56" s="344">
        <v>0.19</v>
      </c>
    </row>
    <row r="57" spans="2:19">
      <c r="B57" s="215">
        <v>2811712220</v>
      </c>
      <c r="C57" s="173"/>
      <c r="D57" s="218"/>
      <c r="E57" s="216">
        <f t="shared" si="7"/>
        <v>162.01999999999998</v>
      </c>
      <c r="F57" s="216">
        <v>121.52</v>
      </c>
      <c r="G57" s="174" t="s">
        <v>1169</v>
      </c>
      <c r="H57" s="175">
        <v>80</v>
      </c>
      <c r="J57" s="49">
        <f t="shared" si="8"/>
        <v>2811612220</v>
      </c>
      <c r="K57" s="217">
        <f t="shared" si="9"/>
        <v>159.38999999999999</v>
      </c>
      <c r="L57" s="282">
        <v>123.51</v>
      </c>
      <c r="M57" s="282">
        <f t="shared" ref="M57" si="22">ROUND(N57,2)</f>
        <v>119.54</v>
      </c>
      <c r="N57" s="282">
        <f>K57*$N$13</f>
        <v>119.54249999999999</v>
      </c>
      <c r="O57" s="271"/>
      <c r="P57" s="261"/>
      <c r="Q57" s="16">
        <v>1310073618</v>
      </c>
      <c r="R57" t="s">
        <v>511</v>
      </c>
      <c r="S57" s="344">
        <v>7.42</v>
      </c>
    </row>
    <row r="58" spans="2:19">
      <c r="B58" s="215">
        <v>1312101361</v>
      </c>
      <c r="C58" s="173"/>
      <c r="D58" s="218"/>
      <c r="E58" s="216">
        <f t="shared" si="7"/>
        <v>25.99</v>
      </c>
      <c r="F58" s="216">
        <v>19.489999999999998</v>
      </c>
      <c r="G58" s="174" t="s">
        <v>1170</v>
      </c>
      <c r="H58" s="175">
        <v>100</v>
      </c>
      <c r="J58" s="49">
        <f t="shared" si="8"/>
        <v>2811712220</v>
      </c>
      <c r="K58" s="217">
        <f t="shared" si="9"/>
        <v>162.01999999999998</v>
      </c>
      <c r="L58" s="282">
        <v>125.56</v>
      </c>
      <c r="M58" s="282">
        <f t="shared" ref="M58" si="23">ROUND(N58,2)</f>
        <v>121.52</v>
      </c>
      <c r="N58" s="282">
        <f t="shared" ref="N58:N62" si="24">K58*$N$13</f>
        <v>121.51499999999999</v>
      </c>
      <c r="O58" s="271"/>
      <c r="P58" s="261"/>
      <c r="Q58" s="16">
        <v>1310074250</v>
      </c>
      <c r="R58" t="s">
        <v>512</v>
      </c>
      <c r="S58" s="344">
        <v>2.85</v>
      </c>
    </row>
    <row r="59" spans="2:19">
      <c r="B59" s="215">
        <v>2810912210</v>
      </c>
      <c r="C59" s="173"/>
      <c r="D59" s="218"/>
      <c r="E59" s="216">
        <f t="shared" si="7"/>
        <v>213.5</v>
      </c>
      <c r="F59" s="216">
        <v>160.13</v>
      </c>
      <c r="G59" s="174" t="s">
        <v>1171</v>
      </c>
      <c r="H59" s="175">
        <v>158</v>
      </c>
      <c r="J59" s="49">
        <f t="shared" si="8"/>
        <v>1312101361</v>
      </c>
      <c r="K59" s="217">
        <f t="shared" si="9"/>
        <v>25.99</v>
      </c>
      <c r="L59" s="282">
        <v>18.32</v>
      </c>
      <c r="M59" s="282">
        <f t="shared" ref="M59" si="25">ROUND(N59,2)</f>
        <v>19.489999999999998</v>
      </c>
      <c r="N59" s="282">
        <f t="shared" si="24"/>
        <v>19.4925</v>
      </c>
      <c r="O59" s="271"/>
      <c r="P59" s="261"/>
      <c r="Q59" s="16">
        <v>1310074413</v>
      </c>
      <c r="R59" t="s">
        <v>513</v>
      </c>
      <c r="S59" s="344">
        <v>7.2</v>
      </c>
    </row>
    <row r="60" spans="2:19">
      <c r="B60" s="215">
        <v>2810032710</v>
      </c>
      <c r="C60" s="173"/>
      <c r="D60" s="218"/>
      <c r="E60" s="216">
        <f t="shared" si="7"/>
        <v>240.1</v>
      </c>
      <c r="F60" s="216">
        <v>180.08</v>
      </c>
      <c r="G60" s="174" t="s">
        <v>1172</v>
      </c>
      <c r="H60" s="175">
        <v>100</v>
      </c>
      <c r="J60" s="49">
        <v>2810912210</v>
      </c>
      <c r="K60" s="217">
        <f t="shared" si="9"/>
        <v>213.5</v>
      </c>
      <c r="L60" s="282">
        <v>148.63</v>
      </c>
      <c r="M60" s="282">
        <f t="shared" ref="M60" si="26">ROUND(N60,2)</f>
        <v>160.13</v>
      </c>
      <c r="N60" s="282">
        <f t="shared" si="24"/>
        <v>160.125</v>
      </c>
      <c r="O60" s="271"/>
      <c r="P60" s="261"/>
      <c r="Q60" s="16">
        <v>1310074482</v>
      </c>
      <c r="R60" t="s">
        <v>514</v>
      </c>
      <c r="S60" s="344">
        <v>8.75</v>
      </c>
    </row>
    <row r="61" spans="2:19">
      <c r="B61" s="215">
        <v>2810012710</v>
      </c>
      <c r="C61" s="173"/>
      <c r="D61" s="218"/>
      <c r="E61" s="216">
        <f t="shared" si="7"/>
        <v>128.60999999999999</v>
      </c>
      <c r="F61" s="216">
        <v>96.46</v>
      </c>
      <c r="G61" s="174" t="s">
        <v>1172</v>
      </c>
      <c r="H61" s="175" t="s">
        <v>1173</v>
      </c>
      <c r="J61" s="49">
        <f t="shared" ref="J61:J63" si="27">B60*$K$13</f>
        <v>2810032710</v>
      </c>
      <c r="K61" s="217">
        <f t="shared" si="9"/>
        <v>240.1</v>
      </c>
      <c r="L61" s="282">
        <v>167.13</v>
      </c>
      <c r="M61" s="282">
        <f t="shared" ref="M61" si="28">ROUND(N61,2)</f>
        <v>180.08</v>
      </c>
      <c r="N61" s="282">
        <f t="shared" si="24"/>
        <v>180.07499999999999</v>
      </c>
      <c r="O61" s="271"/>
      <c r="P61" s="261"/>
      <c r="Q61" s="16">
        <v>1310074483</v>
      </c>
      <c r="R61" t="s">
        <v>515</v>
      </c>
      <c r="S61" s="344">
        <v>12.36</v>
      </c>
    </row>
    <row r="62" spans="2:19">
      <c r="B62" s="215">
        <v>2811002710</v>
      </c>
      <c r="C62" s="173"/>
      <c r="D62" s="218"/>
      <c r="E62" s="216">
        <f t="shared" si="7"/>
        <v>23.310000000000002</v>
      </c>
      <c r="F62" s="216">
        <v>17.48</v>
      </c>
      <c r="G62" s="174" t="s">
        <v>1172</v>
      </c>
      <c r="H62" s="175" t="s">
        <v>1825</v>
      </c>
      <c r="J62" s="49">
        <f t="shared" si="27"/>
        <v>2810012710</v>
      </c>
      <c r="K62" s="217">
        <f t="shared" si="9"/>
        <v>128.60999999999999</v>
      </c>
      <c r="L62" s="282">
        <v>99.67</v>
      </c>
      <c r="M62" s="282">
        <f t="shared" ref="M62" si="29">ROUND(N62,2)</f>
        <v>96.46</v>
      </c>
      <c r="N62" s="282">
        <f t="shared" si="24"/>
        <v>96.457499999999982</v>
      </c>
      <c r="O62" s="271"/>
      <c r="P62" s="261"/>
      <c r="Q62" s="16">
        <v>1310201169</v>
      </c>
      <c r="R62" t="s">
        <v>516</v>
      </c>
      <c r="S62" s="344">
        <v>16.2</v>
      </c>
    </row>
    <row r="63" spans="2:19">
      <c r="B63" s="215">
        <v>2811012710</v>
      </c>
      <c r="C63" s="173"/>
      <c r="D63" s="218"/>
      <c r="E63" s="216">
        <f t="shared" si="7"/>
        <v>46.449999999999996</v>
      </c>
      <c r="F63" s="216">
        <v>34.840000000000003</v>
      </c>
      <c r="G63" s="174" t="s">
        <v>1172</v>
      </c>
      <c r="H63" s="175" t="s">
        <v>1826</v>
      </c>
      <c r="J63" s="49">
        <f t="shared" si="27"/>
        <v>2811002710</v>
      </c>
      <c r="K63" s="217">
        <f t="shared" si="9"/>
        <v>23.310000000000002</v>
      </c>
      <c r="L63" s="282">
        <v>18.07</v>
      </c>
      <c r="M63" s="282">
        <f t="shared" ref="M63" si="30">ROUND(N63,2)</f>
        <v>17.48</v>
      </c>
      <c r="N63" s="282">
        <f>K63*$N$13</f>
        <v>17.482500000000002</v>
      </c>
      <c r="O63" s="271"/>
      <c r="P63" s="261"/>
      <c r="Q63" s="16">
        <v>1310203228</v>
      </c>
      <c r="R63" t="s">
        <v>517</v>
      </c>
      <c r="S63" s="344">
        <v>6.02</v>
      </c>
    </row>
    <row r="64" spans="2:19">
      <c r="B64" s="215">
        <v>2811022710</v>
      </c>
      <c r="C64" s="173"/>
      <c r="D64" s="218"/>
      <c r="E64" s="216">
        <f t="shared" si="7"/>
        <v>64.03</v>
      </c>
      <c r="F64" s="216">
        <v>48.02</v>
      </c>
      <c r="G64" s="174" t="s">
        <v>1172</v>
      </c>
      <c r="H64" s="175" t="s">
        <v>1827</v>
      </c>
      <c r="J64" s="49">
        <f>B63*$K$13</f>
        <v>2811012710</v>
      </c>
      <c r="K64" s="217">
        <f t="shared" si="9"/>
        <v>46.449999999999996</v>
      </c>
      <c r="L64" s="282">
        <v>36.01</v>
      </c>
      <c r="M64" s="282">
        <f t="shared" ref="M64" si="31">ROUND(N64,2)</f>
        <v>34.840000000000003</v>
      </c>
      <c r="N64" s="282">
        <f>K64*$N$13</f>
        <v>34.837499999999999</v>
      </c>
      <c r="O64" s="271"/>
      <c r="P64" s="261"/>
      <c r="Q64" s="16">
        <v>1310256082</v>
      </c>
      <c r="R64" t="s">
        <v>518</v>
      </c>
      <c r="S64" s="344">
        <v>46.77</v>
      </c>
    </row>
    <row r="65" spans="2:20">
      <c r="B65" s="215">
        <v>2811017200</v>
      </c>
      <c r="C65" s="173"/>
      <c r="E65" s="216">
        <f t="shared" si="7"/>
        <v>3.4499999999999997</v>
      </c>
      <c r="F65" s="216">
        <v>2.59</v>
      </c>
      <c r="G65" s="174" t="s">
        <v>1174</v>
      </c>
      <c r="J65" s="49">
        <f>B64*$K$13</f>
        <v>2811022710</v>
      </c>
      <c r="K65" s="217">
        <f t="shared" si="9"/>
        <v>64.03</v>
      </c>
      <c r="L65" s="282">
        <v>49.63</v>
      </c>
      <c r="M65" s="282">
        <f t="shared" ref="M65" si="32">ROUND(N65,2)</f>
        <v>48.02</v>
      </c>
      <c r="N65" s="282">
        <f>K65*$N$13</f>
        <v>48.022500000000001</v>
      </c>
      <c r="O65" s="271"/>
      <c r="P65" s="261"/>
      <c r="Q65" s="16">
        <v>1310256325</v>
      </c>
      <c r="R65" t="s">
        <v>519</v>
      </c>
      <c r="S65" s="344">
        <v>34.869999999999997</v>
      </c>
    </row>
    <row r="66" spans="2:20">
      <c r="B66" s="215">
        <v>2811027200</v>
      </c>
      <c r="C66" s="173"/>
      <c r="E66" s="216">
        <f t="shared" si="7"/>
        <v>4.04</v>
      </c>
      <c r="F66" s="216">
        <v>3.03</v>
      </c>
      <c r="G66" s="174" t="s">
        <v>1175</v>
      </c>
      <c r="J66" s="49">
        <f>B65*$K$13</f>
        <v>2811017200</v>
      </c>
      <c r="K66" s="217">
        <f t="shared" si="9"/>
        <v>3.4499999999999997</v>
      </c>
      <c r="L66" s="282">
        <v>2.5099999999999998</v>
      </c>
      <c r="M66" s="282">
        <f t="shared" ref="M66" si="33">ROUND(N66,2)</f>
        <v>2.59</v>
      </c>
      <c r="N66" s="282">
        <f>K66*$N$13</f>
        <v>2.5874999999999999</v>
      </c>
      <c r="O66" s="271"/>
      <c r="P66" s="261"/>
      <c r="Q66" s="16">
        <v>1310256514</v>
      </c>
      <c r="R66" t="s">
        <v>520</v>
      </c>
      <c r="S66" s="344">
        <v>38.270000000000003</v>
      </c>
    </row>
    <row r="67" spans="2:20">
      <c r="E67" s="216"/>
      <c r="F67" s="216"/>
      <c r="J67" s="49">
        <f>B66*$K$13</f>
        <v>2811027200</v>
      </c>
      <c r="K67" s="217">
        <f t="shared" si="9"/>
        <v>4.04</v>
      </c>
      <c r="L67" s="282">
        <v>2.93</v>
      </c>
      <c r="M67" s="282">
        <f t="shared" ref="M67:M130" si="34">ROUND(N67,2)</f>
        <v>3.03</v>
      </c>
      <c r="N67" s="282">
        <f>K67*$N$13</f>
        <v>3.0300000000000002</v>
      </c>
      <c r="O67" s="271"/>
      <c r="P67" s="261"/>
      <c r="Q67" s="16">
        <v>1312100325</v>
      </c>
      <c r="R67" t="s">
        <v>521</v>
      </c>
      <c r="S67" s="344">
        <v>3.79</v>
      </c>
    </row>
    <row r="68" spans="2:20">
      <c r="B68" s="215">
        <v>2811100280</v>
      </c>
      <c r="C68" s="203"/>
      <c r="D68" s="218"/>
      <c r="E68" s="216">
        <f t="shared" ref="E68:E99" si="35">VLOOKUP(B68,$Q$14:$S$1164,3,FALSE)</f>
        <v>23.770000000000003</v>
      </c>
      <c r="F68" s="216">
        <v>17.829999999999998</v>
      </c>
      <c r="G68" s="49"/>
      <c r="H68" s="49"/>
      <c r="K68" s="217"/>
      <c r="L68" s="282"/>
      <c r="M68" s="282"/>
      <c r="N68" s="282"/>
      <c r="O68" s="271"/>
      <c r="P68" s="261"/>
      <c r="Q68" s="16">
        <v>1312100326</v>
      </c>
      <c r="R68" t="s">
        <v>522</v>
      </c>
      <c r="S68" s="344">
        <v>2.79</v>
      </c>
    </row>
    <row r="69" spans="2:20">
      <c r="B69" s="215">
        <v>2811200280</v>
      </c>
      <c r="C69" s="203"/>
      <c r="D69" s="218"/>
      <c r="E69" s="216">
        <f t="shared" si="35"/>
        <v>31.46</v>
      </c>
      <c r="F69" s="216">
        <v>23.6</v>
      </c>
      <c r="G69" s="174" t="s">
        <v>1176</v>
      </c>
      <c r="H69" s="175">
        <v>20</v>
      </c>
      <c r="J69" s="49">
        <f t="shared" ref="J69:J100" si="36">B68*$K$13</f>
        <v>2811100280</v>
      </c>
      <c r="K69" s="217">
        <f t="shared" ref="K69:K100" si="37">VLOOKUP(J69,$Q$14:$S$1164,3,FALSE)</f>
        <v>23.770000000000003</v>
      </c>
      <c r="L69" s="282">
        <v>16.54</v>
      </c>
      <c r="M69" s="282">
        <f t="shared" si="34"/>
        <v>17.829999999999998</v>
      </c>
      <c r="N69" s="282">
        <f t="shared" ref="N69:N100" si="38">K69*$N$13</f>
        <v>17.827500000000001</v>
      </c>
      <c r="O69" s="271"/>
      <c r="P69" s="261"/>
      <c r="Q69" s="16">
        <v>1312100335</v>
      </c>
      <c r="R69" t="s">
        <v>523</v>
      </c>
      <c r="S69" s="344">
        <v>17.36</v>
      </c>
    </row>
    <row r="70" spans="2:20">
      <c r="B70" s="215">
        <v>2811400280</v>
      </c>
      <c r="C70" s="203"/>
      <c r="D70" s="218"/>
      <c r="E70" s="216">
        <f t="shared" si="35"/>
        <v>58.14</v>
      </c>
      <c r="F70" s="216">
        <v>43.61</v>
      </c>
      <c r="G70" s="174" t="s">
        <v>1176</v>
      </c>
      <c r="H70" s="175">
        <v>25</v>
      </c>
      <c r="J70" s="49">
        <f t="shared" si="36"/>
        <v>2811200280</v>
      </c>
      <c r="K70" s="217">
        <f t="shared" si="37"/>
        <v>31.46</v>
      </c>
      <c r="L70" s="282">
        <v>21.91</v>
      </c>
      <c r="M70" s="282">
        <f t="shared" si="34"/>
        <v>23.6</v>
      </c>
      <c r="N70" s="282">
        <f t="shared" si="38"/>
        <v>23.594999999999999</v>
      </c>
      <c r="O70" s="271"/>
      <c r="P70" s="261"/>
      <c r="Q70" s="16">
        <v>1312100684</v>
      </c>
      <c r="R70" t="s">
        <v>524</v>
      </c>
      <c r="S70" s="344">
        <v>16.27</v>
      </c>
    </row>
    <row r="71" spans="2:20">
      <c r="B71" s="215">
        <v>2811500280</v>
      </c>
      <c r="C71" s="203"/>
      <c r="D71" s="218"/>
      <c r="E71" s="216">
        <f t="shared" si="35"/>
        <v>73.660000000000011</v>
      </c>
      <c r="F71" s="216">
        <v>55.25</v>
      </c>
      <c r="G71" s="174" t="s">
        <v>1176</v>
      </c>
      <c r="H71" s="175">
        <v>40</v>
      </c>
      <c r="J71" s="49">
        <f t="shared" si="36"/>
        <v>2811400280</v>
      </c>
      <c r="K71" s="217">
        <f t="shared" si="37"/>
        <v>58.14</v>
      </c>
      <c r="L71" s="282">
        <v>40.46</v>
      </c>
      <c r="M71" s="282">
        <f t="shared" si="34"/>
        <v>43.61</v>
      </c>
      <c r="N71" s="282">
        <f t="shared" si="38"/>
        <v>43.605000000000004</v>
      </c>
      <c r="O71" s="271"/>
      <c r="P71" s="261"/>
      <c r="Q71" s="16">
        <v>1312100685</v>
      </c>
      <c r="R71" t="s">
        <v>525</v>
      </c>
      <c r="S71" s="344">
        <v>16.27</v>
      </c>
    </row>
    <row r="72" spans="2:20">
      <c r="B72" s="215">
        <v>2811600290</v>
      </c>
      <c r="E72" s="216">
        <f t="shared" si="35"/>
        <v>89.06</v>
      </c>
      <c r="F72" s="216">
        <v>66.8</v>
      </c>
      <c r="G72" s="174" t="s">
        <v>1176</v>
      </c>
      <c r="H72" s="175">
        <v>50</v>
      </c>
      <c r="J72" s="49">
        <f t="shared" si="36"/>
        <v>2811500280</v>
      </c>
      <c r="K72" s="217">
        <f t="shared" si="37"/>
        <v>73.660000000000011</v>
      </c>
      <c r="L72" s="282">
        <v>51.26</v>
      </c>
      <c r="M72" s="282">
        <f t="shared" si="34"/>
        <v>55.25</v>
      </c>
      <c r="N72" s="282">
        <f t="shared" si="38"/>
        <v>55.245000000000005</v>
      </c>
      <c r="O72" s="271"/>
      <c r="P72" s="261"/>
      <c r="Q72" s="16">
        <v>1312100686</v>
      </c>
      <c r="R72" t="s">
        <v>526</v>
      </c>
      <c r="S72" s="344">
        <v>2.15</v>
      </c>
    </row>
    <row r="73" spans="2:20">
      <c r="B73" s="215">
        <v>2811700290</v>
      </c>
      <c r="E73" s="216">
        <f t="shared" si="35"/>
        <v>117.97</v>
      </c>
      <c r="F73" s="216">
        <v>88.48</v>
      </c>
      <c r="G73" s="222" t="s">
        <v>1177</v>
      </c>
      <c r="J73" s="49">
        <f t="shared" si="36"/>
        <v>2811600290</v>
      </c>
      <c r="K73" s="217">
        <f t="shared" si="37"/>
        <v>89.06</v>
      </c>
      <c r="L73" s="282">
        <v>66.790000000000006</v>
      </c>
      <c r="M73" s="282">
        <f t="shared" si="34"/>
        <v>66.8</v>
      </c>
      <c r="N73" s="282">
        <f t="shared" si="38"/>
        <v>66.795000000000002</v>
      </c>
      <c r="O73" s="271"/>
      <c r="P73" s="261"/>
      <c r="Q73" s="16">
        <v>1312100687</v>
      </c>
      <c r="R73" t="s">
        <v>527</v>
      </c>
      <c r="S73" s="344">
        <v>2.15</v>
      </c>
    </row>
    <row r="74" spans="2:20">
      <c r="B74" s="215">
        <v>2810880200</v>
      </c>
      <c r="C74" s="203"/>
      <c r="D74" s="223"/>
      <c r="E74" s="216">
        <f t="shared" si="35"/>
        <v>143.63</v>
      </c>
      <c r="F74" s="216">
        <v>107.72</v>
      </c>
      <c r="G74" s="222" t="s">
        <v>1178</v>
      </c>
      <c r="J74" s="49">
        <f t="shared" si="36"/>
        <v>2811700290</v>
      </c>
      <c r="K74" s="217">
        <f t="shared" si="37"/>
        <v>117.97</v>
      </c>
      <c r="L74" s="282">
        <v>85.9</v>
      </c>
      <c r="M74" s="282">
        <f t="shared" si="34"/>
        <v>88.48</v>
      </c>
      <c r="N74" s="282">
        <f t="shared" si="38"/>
        <v>88.477499999999992</v>
      </c>
      <c r="O74" s="271"/>
      <c r="P74" s="261"/>
      <c r="Q74" s="16">
        <v>1312100941</v>
      </c>
      <c r="R74" t="s">
        <v>528</v>
      </c>
      <c r="S74" s="343">
        <v>85.68</v>
      </c>
    </row>
    <row r="75" spans="2:20">
      <c r="B75" s="215">
        <v>2810900200</v>
      </c>
      <c r="C75" s="203"/>
      <c r="D75" s="218"/>
      <c r="E75" s="216">
        <f t="shared" si="35"/>
        <v>152.07999999999998</v>
      </c>
      <c r="F75" s="216">
        <v>114.06</v>
      </c>
      <c r="G75" s="174" t="s">
        <v>1179</v>
      </c>
      <c r="H75" s="175">
        <v>100</v>
      </c>
      <c r="I75" s="173"/>
      <c r="J75" s="173">
        <f t="shared" si="36"/>
        <v>2810880200</v>
      </c>
      <c r="K75" s="217">
        <f t="shared" si="37"/>
        <v>143.63</v>
      </c>
      <c r="L75" s="282">
        <v>105.43</v>
      </c>
      <c r="M75" s="282">
        <f t="shared" si="34"/>
        <v>107.72</v>
      </c>
      <c r="N75" s="282">
        <f t="shared" si="38"/>
        <v>107.7225</v>
      </c>
      <c r="O75" s="271"/>
      <c r="P75" s="261"/>
      <c r="Q75" s="16">
        <v>1312100942</v>
      </c>
      <c r="R75" t="s">
        <v>529</v>
      </c>
      <c r="S75" s="343">
        <v>85.68</v>
      </c>
    </row>
    <row r="76" spans="2:20">
      <c r="B76" s="215">
        <v>2811212180</v>
      </c>
      <c r="C76" s="203"/>
      <c r="D76" s="218"/>
      <c r="E76" s="216">
        <f t="shared" si="35"/>
        <v>35.479999999999997</v>
      </c>
      <c r="F76" s="216">
        <v>26.61</v>
      </c>
      <c r="G76" s="174" t="s">
        <v>1179</v>
      </c>
      <c r="H76" s="175">
        <v>158</v>
      </c>
      <c r="J76" s="49">
        <f t="shared" si="36"/>
        <v>2810900200</v>
      </c>
      <c r="K76" s="217">
        <f t="shared" si="37"/>
        <v>152.07999999999998</v>
      </c>
      <c r="L76" s="282">
        <v>111.63</v>
      </c>
      <c r="M76" s="282">
        <f t="shared" si="34"/>
        <v>114.06</v>
      </c>
      <c r="N76" s="282">
        <f t="shared" si="38"/>
        <v>114.05999999999999</v>
      </c>
      <c r="O76" s="271"/>
      <c r="P76" s="261"/>
      <c r="Q76" s="16">
        <v>1312100943</v>
      </c>
      <c r="R76" t="s">
        <v>530</v>
      </c>
      <c r="S76" s="344">
        <v>4.6900000000000004</v>
      </c>
    </row>
    <row r="77" spans="2:20">
      <c r="B77" s="215">
        <v>2811422180</v>
      </c>
      <c r="C77" s="203"/>
      <c r="D77" s="218"/>
      <c r="E77" s="216">
        <f t="shared" si="35"/>
        <v>60.71</v>
      </c>
      <c r="F77" s="216">
        <v>45.53</v>
      </c>
      <c r="G77" s="174" t="s">
        <v>1180</v>
      </c>
      <c r="H77" s="175">
        <v>26</v>
      </c>
      <c r="J77" s="49">
        <f t="shared" si="36"/>
        <v>2811212180</v>
      </c>
      <c r="K77" s="217">
        <f t="shared" si="37"/>
        <v>35.479999999999997</v>
      </c>
      <c r="L77" s="282">
        <v>24.69</v>
      </c>
      <c r="M77" s="282">
        <f t="shared" si="34"/>
        <v>26.61</v>
      </c>
      <c r="N77" s="282">
        <f t="shared" si="38"/>
        <v>26.61</v>
      </c>
      <c r="O77" s="271"/>
      <c r="P77" s="261"/>
      <c r="Q77" s="16">
        <v>1312100944</v>
      </c>
      <c r="R77" t="s">
        <v>531</v>
      </c>
      <c r="S77" s="344">
        <v>4.6900000000000004</v>
      </c>
    </row>
    <row r="78" spans="2:20">
      <c r="B78" s="215">
        <v>2811542180</v>
      </c>
      <c r="C78" s="203"/>
      <c r="D78" s="218"/>
      <c r="E78" s="216">
        <f t="shared" si="35"/>
        <v>83.070000000000007</v>
      </c>
      <c r="F78" s="216">
        <v>62.3</v>
      </c>
      <c r="G78" s="174" t="s">
        <v>1181</v>
      </c>
      <c r="H78" s="175" t="s">
        <v>1182</v>
      </c>
      <c r="J78" s="49">
        <f t="shared" si="36"/>
        <v>2811422180</v>
      </c>
      <c r="K78" s="217">
        <f t="shared" si="37"/>
        <v>60.71</v>
      </c>
      <c r="L78" s="282">
        <v>42.24</v>
      </c>
      <c r="M78" s="282">
        <f t="shared" si="34"/>
        <v>45.53</v>
      </c>
      <c r="N78" s="282">
        <f t="shared" si="38"/>
        <v>45.532499999999999</v>
      </c>
      <c r="O78" s="271"/>
      <c r="P78" s="261"/>
      <c r="Q78" s="16">
        <v>1312100945</v>
      </c>
      <c r="R78" t="s">
        <v>532</v>
      </c>
      <c r="S78" s="344">
        <v>474.39</v>
      </c>
      <c r="T78">
        <v>521.83000000000004</v>
      </c>
    </row>
    <row r="79" spans="2:20">
      <c r="B79" s="215">
        <v>2811652190</v>
      </c>
      <c r="E79" s="216">
        <f t="shared" si="35"/>
        <v>178.78</v>
      </c>
      <c r="F79" s="216">
        <v>134.09</v>
      </c>
      <c r="G79" s="174" t="s">
        <v>1183</v>
      </c>
      <c r="H79" s="175">
        <v>50</v>
      </c>
      <c r="J79" s="49">
        <f t="shared" si="36"/>
        <v>2811542180</v>
      </c>
      <c r="K79" s="217">
        <f t="shared" si="37"/>
        <v>83.070000000000007</v>
      </c>
      <c r="L79" s="282">
        <v>57.82</v>
      </c>
      <c r="M79" s="282">
        <f t="shared" si="34"/>
        <v>62.3</v>
      </c>
      <c r="N79" s="282">
        <f t="shared" si="38"/>
        <v>62.302500000000009</v>
      </c>
      <c r="O79" s="271"/>
      <c r="P79" s="261"/>
      <c r="Q79" s="16">
        <v>1312100946</v>
      </c>
      <c r="R79" t="s">
        <v>533</v>
      </c>
      <c r="S79" s="344">
        <v>32.04</v>
      </c>
    </row>
    <row r="80" spans="2:20">
      <c r="B80" s="215">
        <v>2811762190</v>
      </c>
      <c r="E80" s="216">
        <f t="shared" si="35"/>
        <v>226.92999999999998</v>
      </c>
      <c r="F80" s="216">
        <v>170.2</v>
      </c>
      <c r="G80" s="222" t="s">
        <v>1184</v>
      </c>
      <c r="J80" s="49">
        <f t="shared" si="36"/>
        <v>2811652190</v>
      </c>
      <c r="K80" s="217">
        <f t="shared" si="37"/>
        <v>178.78</v>
      </c>
      <c r="L80" s="282">
        <v>134.08000000000001</v>
      </c>
      <c r="M80" s="282">
        <f t="shared" si="34"/>
        <v>134.09</v>
      </c>
      <c r="N80" s="282">
        <f t="shared" si="38"/>
        <v>134.08500000000001</v>
      </c>
      <c r="O80" s="271"/>
      <c r="P80" s="261"/>
      <c r="Q80" s="16">
        <v>1312100947</v>
      </c>
      <c r="R80" t="s">
        <v>534</v>
      </c>
      <c r="S80" s="344">
        <v>32.04</v>
      </c>
    </row>
    <row r="81" spans="2:19">
      <c r="B81" s="215">
        <v>2810872100</v>
      </c>
      <c r="C81" s="203"/>
      <c r="D81" s="218"/>
      <c r="E81" s="216">
        <f t="shared" si="35"/>
        <v>193.10999999999999</v>
      </c>
      <c r="F81" s="216">
        <v>144.83000000000001</v>
      </c>
      <c r="G81" s="222" t="s">
        <v>1185</v>
      </c>
      <c r="J81" s="49">
        <f t="shared" si="36"/>
        <v>2811762190</v>
      </c>
      <c r="K81" s="217">
        <f t="shared" si="37"/>
        <v>226.92999999999998</v>
      </c>
      <c r="L81" s="282">
        <v>170.25</v>
      </c>
      <c r="M81" s="282">
        <f t="shared" si="34"/>
        <v>170.2</v>
      </c>
      <c r="N81" s="282">
        <f t="shared" si="38"/>
        <v>170.19749999999999</v>
      </c>
      <c r="O81" s="271"/>
      <c r="P81" s="261"/>
      <c r="Q81" s="16">
        <v>1312100948</v>
      </c>
      <c r="R81" t="s">
        <v>535</v>
      </c>
      <c r="S81" s="344">
        <v>7.27</v>
      </c>
    </row>
    <row r="82" spans="2:19">
      <c r="B82" s="215">
        <v>2810982100</v>
      </c>
      <c r="C82" s="203"/>
      <c r="D82" s="218"/>
      <c r="E82" s="216">
        <f t="shared" si="35"/>
        <v>168.98</v>
      </c>
      <c r="F82" s="216">
        <v>126.74</v>
      </c>
      <c r="G82" s="174" t="s">
        <v>1186</v>
      </c>
      <c r="H82" s="175">
        <v>100</v>
      </c>
      <c r="J82" s="49">
        <f t="shared" si="36"/>
        <v>2810872100</v>
      </c>
      <c r="K82" s="217">
        <f t="shared" si="37"/>
        <v>193.10999999999999</v>
      </c>
      <c r="L82" s="282">
        <v>141.76</v>
      </c>
      <c r="M82" s="282">
        <f t="shared" si="34"/>
        <v>144.83000000000001</v>
      </c>
      <c r="N82" s="282">
        <f t="shared" si="38"/>
        <v>144.83249999999998</v>
      </c>
      <c r="O82" s="271"/>
      <c r="P82" s="261"/>
      <c r="Q82" s="16">
        <v>1312100949</v>
      </c>
      <c r="R82" t="s">
        <v>536</v>
      </c>
      <c r="S82" s="344">
        <v>5.97</v>
      </c>
    </row>
    <row r="83" spans="2:19">
      <c r="B83" s="215">
        <v>2811100380</v>
      </c>
      <c r="C83" s="203"/>
      <c r="D83" s="218"/>
      <c r="E83" s="216">
        <f t="shared" si="35"/>
        <v>29.71</v>
      </c>
      <c r="F83" s="216">
        <v>22.28</v>
      </c>
      <c r="G83" s="174" t="s">
        <v>1187</v>
      </c>
      <c r="H83" s="175">
        <v>158</v>
      </c>
      <c r="J83" s="49">
        <f t="shared" si="36"/>
        <v>2810982100</v>
      </c>
      <c r="K83" s="217">
        <f t="shared" si="37"/>
        <v>168.98</v>
      </c>
      <c r="L83" s="282">
        <v>124.03</v>
      </c>
      <c r="M83" s="282">
        <f t="shared" si="34"/>
        <v>126.74</v>
      </c>
      <c r="N83" s="282">
        <f t="shared" si="38"/>
        <v>126.73499999999999</v>
      </c>
      <c r="O83" s="271"/>
      <c r="P83" s="261"/>
      <c r="Q83" s="16">
        <v>1312100950</v>
      </c>
      <c r="R83" t="s">
        <v>537</v>
      </c>
      <c r="S83" s="344">
        <v>225.84</v>
      </c>
    </row>
    <row r="84" spans="2:19">
      <c r="B84" s="215">
        <v>2811200380</v>
      </c>
      <c r="C84" s="203"/>
      <c r="D84" s="218"/>
      <c r="E84" s="216">
        <f t="shared" si="35"/>
        <v>35.059999999999995</v>
      </c>
      <c r="F84" s="216">
        <v>26.3</v>
      </c>
      <c r="G84" s="174" t="s">
        <v>1188</v>
      </c>
      <c r="H84" s="175">
        <v>21</v>
      </c>
      <c r="J84" s="49">
        <f t="shared" si="36"/>
        <v>2811100380</v>
      </c>
      <c r="K84" s="217">
        <f t="shared" si="37"/>
        <v>29.71</v>
      </c>
      <c r="L84" s="282">
        <v>20.68</v>
      </c>
      <c r="M84" s="282">
        <f t="shared" si="34"/>
        <v>22.28</v>
      </c>
      <c r="N84" s="282">
        <f t="shared" si="38"/>
        <v>22.282499999999999</v>
      </c>
      <c r="O84" s="271"/>
      <c r="P84" s="261"/>
      <c r="Q84" s="16">
        <v>1312100951</v>
      </c>
      <c r="R84" t="s">
        <v>538</v>
      </c>
      <c r="S84" s="344">
        <v>260.49</v>
      </c>
    </row>
    <row r="85" spans="2:19">
      <c r="B85" s="215">
        <v>2811400380</v>
      </c>
      <c r="C85" s="203"/>
      <c r="D85" s="218"/>
      <c r="E85" s="216">
        <f t="shared" si="35"/>
        <v>69.5</v>
      </c>
      <c r="F85" s="216">
        <v>52.13</v>
      </c>
      <c r="G85" s="174" t="s">
        <v>1188</v>
      </c>
      <c r="H85" s="175">
        <v>25</v>
      </c>
      <c r="J85" s="49">
        <f t="shared" si="36"/>
        <v>2811200380</v>
      </c>
      <c r="K85" s="217">
        <f t="shared" si="37"/>
        <v>35.059999999999995</v>
      </c>
      <c r="L85" s="282">
        <v>24.4</v>
      </c>
      <c r="M85" s="282">
        <f t="shared" si="34"/>
        <v>26.3</v>
      </c>
      <c r="N85" s="282">
        <f t="shared" si="38"/>
        <v>26.294999999999995</v>
      </c>
      <c r="O85" s="271"/>
      <c r="P85" s="261"/>
      <c r="Q85" s="16">
        <v>1312100952</v>
      </c>
      <c r="R85" t="s">
        <v>539</v>
      </c>
      <c r="S85" s="344">
        <v>279.11</v>
      </c>
    </row>
    <row r="86" spans="2:19">
      <c r="B86" s="215">
        <v>2811500380</v>
      </c>
      <c r="C86" s="203"/>
      <c r="D86" s="218"/>
      <c r="E86" s="216">
        <f t="shared" si="35"/>
        <v>82.350000000000009</v>
      </c>
      <c r="F86" s="216">
        <v>61.76</v>
      </c>
      <c r="G86" s="174" t="s">
        <v>1188</v>
      </c>
      <c r="H86" s="175">
        <v>40</v>
      </c>
      <c r="J86" s="49">
        <f t="shared" si="36"/>
        <v>2811400380</v>
      </c>
      <c r="K86" s="217">
        <f t="shared" si="37"/>
        <v>69.5</v>
      </c>
      <c r="L86" s="282">
        <v>48.37</v>
      </c>
      <c r="M86" s="282">
        <f t="shared" si="34"/>
        <v>52.13</v>
      </c>
      <c r="N86" s="282">
        <f t="shared" si="38"/>
        <v>52.125</v>
      </c>
      <c r="O86" s="271"/>
      <c r="P86" s="261"/>
      <c r="Q86" s="16">
        <v>1312100953</v>
      </c>
      <c r="R86" t="s">
        <v>540</v>
      </c>
      <c r="S86" s="344">
        <v>318.58999999999997</v>
      </c>
    </row>
    <row r="87" spans="2:19">
      <c r="B87" s="215">
        <v>2811600390</v>
      </c>
      <c r="E87" s="216">
        <f t="shared" si="35"/>
        <v>139.94</v>
      </c>
      <c r="F87" s="216">
        <v>104.96</v>
      </c>
      <c r="G87" s="174" t="s">
        <v>1188</v>
      </c>
      <c r="H87" s="175">
        <v>50</v>
      </c>
      <c r="J87" s="49">
        <f t="shared" si="36"/>
        <v>2811500380</v>
      </c>
      <c r="K87" s="217">
        <f t="shared" si="37"/>
        <v>82.350000000000009</v>
      </c>
      <c r="L87" s="282">
        <v>57.31</v>
      </c>
      <c r="M87" s="282">
        <f t="shared" si="34"/>
        <v>61.76</v>
      </c>
      <c r="N87" s="282">
        <f t="shared" si="38"/>
        <v>61.762500000000003</v>
      </c>
      <c r="O87" s="271"/>
      <c r="P87" s="261"/>
      <c r="Q87" s="16">
        <v>1312100954</v>
      </c>
      <c r="R87" s="347" t="s">
        <v>541</v>
      </c>
      <c r="S87" s="344">
        <v>507.88</v>
      </c>
    </row>
    <row r="88" spans="2:19">
      <c r="B88" s="215">
        <v>2811700390</v>
      </c>
      <c r="E88" s="216">
        <f t="shared" si="35"/>
        <v>162.54</v>
      </c>
      <c r="F88" s="216">
        <v>121.91</v>
      </c>
      <c r="G88" s="222" t="s">
        <v>1189</v>
      </c>
      <c r="J88" s="49">
        <f t="shared" si="36"/>
        <v>2811600390</v>
      </c>
      <c r="K88" s="217">
        <f t="shared" si="37"/>
        <v>139.94</v>
      </c>
      <c r="L88" s="282">
        <v>104.95</v>
      </c>
      <c r="M88" s="282">
        <f t="shared" si="34"/>
        <v>104.96</v>
      </c>
      <c r="N88" s="282">
        <f t="shared" si="38"/>
        <v>104.955</v>
      </c>
      <c r="O88" s="271"/>
      <c r="P88" s="261"/>
      <c r="Q88" s="16">
        <v>1312100955</v>
      </c>
      <c r="R88" t="s">
        <v>542</v>
      </c>
      <c r="S88" s="344">
        <v>797.34</v>
      </c>
    </row>
    <row r="89" spans="2:19">
      <c r="B89" s="215">
        <v>2810800300</v>
      </c>
      <c r="C89" s="203"/>
      <c r="D89" s="218"/>
      <c r="E89" s="216">
        <f t="shared" si="35"/>
        <v>174.67999999999998</v>
      </c>
      <c r="F89" s="216">
        <v>131.01</v>
      </c>
      <c r="G89" s="222" t="s">
        <v>1190</v>
      </c>
      <c r="J89" s="49">
        <f t="shared" si="36"/>
        <v>2811700390</v>
      </c>
      <c r="K89" s="217">
        <f t="shared" si="37"/>
        <v>162.54</v>
      </c>
      <c r="L89" s="282">
        <v>119.3</v>
      </c>
      <c r="M89" s="282">
        <f t="shared" si="34"/>
        <v>121.91</v>
      </c>
      <c r="N89" s="282">
        <f t="shared" si="38"/>
        <v>121.905</v>
      </c>
      <c r="O89" s="271"/>
      <c r="P89" s="261"/>
      <c r="Q89" s="16">
        <v>1312101361</v>
      </c>
      <c r="R89" t="s">
        <v>543</v>
      </c>
      <c r="S89" s="344">
        <v>25.99</v>
      </c>
    </row>
    <row r="90" spans="2:19">
      <c r="B90" s="215">
        <v>2810900300</v>
      </c>
      <c r="C90" s="203"/>
      <c r="D90" s="218"/>
      <c r="E90" s="216">
        <f t="shared" si="35"/>
        <v>235.03</v>
      </c>
      <c r="F90" s="216">
        <v>176.27</v>
      </c>
      <c r="G90" s="174" t="s">
        <v>105</v>
      </c>
      <c r="H90" s="175">
        <v>100</v>
      </c>
      <c r="J90" s="49">
        <f t="shared" si="36"/>
        <v>2810800300</v>
      </c>
      <c r="K90" s="217">
        <f t="shared" si="37"/>
        <v>174.67999999999998</v>
      </c>
      <c r="L90" s="282">
        <v>128.22</v>
      </c>
      <c r="M90" s="282">
        <f t="shared" si="34"/>
        <v>131.01</v>
      </c>
      <c r="N90" s="282">
        <f t="shared" si="38"/>
        <v>131.01</v>
      </c>
      <c r="O90" s="271"/>
      <c r="P90" s="261"/>
      <c r="Q90" s="16">
        <v>1606456104</v>
      </c>
      <c r="R90" t="s">
        <v>544</v>
      </c>
      <c r="S90" s="343">
        <v>385.83</v>
      </c>
    </row>
    <row r="91" spans="2:19">
      <c r="B91" s="215">
        <v>2811100480</v>
      </c>
      <c r="C91" s="203"/>
      <c r="D91" s="218"/>
      <c r="E91" s="216">
        <f t="shared" si="35"/>
        <v>42.79</v>
      </c>
      <c r="F91" s="216">
        <v>32.090000000000003</v>
      </c>
      <c r="G91" s="174" t="s">
        <v>105</v>
      </c>
      <c r="H91" s="175">
        <v>158</v>
      </c>
      <c r="J91" s="49">
        <f t="shared" si="36"/>
        <v>2810900300</v>
      </c>
      <c r="K91" s="217">
        <f t="shared" si="37"/>
        <v>235.03</v>
      </c>
      <c r="L91" s="282">
        <v>172.53</v>
      </c>
      <c r="M91" s="282">
        <f t="shared" si="34"/>
        <v>176.27</v>
      </c>
      <c r="N91" s="282">
        <f t="shared" si="38"/>
        <v>176.27250000000001</v>
      </c>
      <c r="O91" s="271"/>
      <c r="P91" s="261"/>
      <c r="Q91" s="16">
        <v>1624506272</v>
      </c>
      <c r="R91" t="s">
        <v>545</v>
      </c>
      <c r="S91" s="344">
        <v>1029.8599999999999</v>
      </c>
    </row>
    <row r="92" spans="2:19">
      <c r="B92" s="215">
        <v>2811200480</v>
      </c>
      <c r="C92" s="203"/>
      <c r="D92" s="218"/>
      <c r="E92" s="216">
        <f t="shared" si="35"/>
        <v>33.949999999999996</v>
      </c>
      <c r="F92" s="216">
        <v>25.46</v>
      </c>
      <c r="G92" s="174" t="s">
        <v>1191</v>
      </c>
      <c r="H92" s="175">
        <v>21</v>
      </c>
      <c r="J92" s="49">
        <f t="shared" si="36"/>
        <v>2811100480</v>
      </c>
      <c r="K92" s="217">
        <f t="shared" si="37"/>
        <v>42.79</v>
      </c>
      <c r="L92" s="282">
        <v>29.78</v>
      </c>
      <c r="M92" s="282">
        <f t="shared" si="34"/>
        <v>32.090000000000003</v>
      </c>
      <c r="N92" s="282">
        <f t="shared" si="38"/>
        <v>32.092500000000001</v>
      </c>
      <c r="O92" s="271"/>
      <c r="P92" s="261"/>
      <c r="Q92" s="16">
        <v>1624506273</v>
      </c>
      <c r="R92" t="s">
        <v>546</v>
      </c>
      <c r="S92" s="346">
        <v>90.79</v>
      </c>
    </row>
    <row r="93" spans="2:19">
      <c r="B93" s="215">
        <v>2811400480</v>
      </c>
      <c r="C93" s="203"/>
      <c r="D93" s="218"/>
      <c r="E93" s="216">
        <f t="shared" si="35"/>
        <v>67.36</v>
      </c>
      <c r="F93" s="216">
        <v>50.52</v>
      </c>
      <c r="G93" s="174" t="s">
        <v>107</v>
      </c>
      <c r="H93" s="175">
        <v>25</v>
      </c>
      <c r="J93" s="49">
        <f t="shared" si="36"/>
        <v>2811200480</v>
      </c>
      <c r="K93" s="217">
        <f t="shared" si="37"/>
        <v>33.949999999999996</v>
      </c>
      <c r="L93" s="282">
        <v>24.72</v>
      </c>
      <c r="M93" s="282">
        <f t="shared" si="34"/>
        <v>25.46</v>
      </c>
      <c r="N93" s="282">
        <f t="shared" si="38"/>
        <v>25.462499999999999</v>
      </c>
      <c r="O93" s="271"/>
      <c r="P93" s="261"/>
      <c r="Q93" s="16">
        <v>1630020000</v>
      </c>
      <c r="R93" t="s">
        <v>547</v>
      </c>
      <c r="S93" s="343">
        <v>280.83999999999997</v>
      </c>
    </row>
    <row r="94" spans="2:19">
      <c r="B94" s="215">
        <v>2811500480</v>
      </c>
      <c r="C94" s="203"/>
      <c r="D94" s="218"/>
      <c r="E94" s="216">
        <f t="shared" si="35"/>
        <v>84.81</v>
      </c>
      <c r="F94" s="216">
        <v>63.61</v>
      </c>
      <c r="G94" s="174" t="s">
        <v>107</v>
      </c>
      <c r="H94" s="175">
        <v>40</v>
      </c>
      <c r="J94" s="49">
        <f t="shared" si="36"/>
        <v>2811400480</v>
      </c>
      <c r="K94" s="217">
        <f t="shared" si="37"/>
        <v>67.36</v>
      </c>
      <c r="L94" s="282">
        <v>46.88</v>
      </c>
      <c r="M94" s="282">
        <f t="shared" si="34"/>
        <v>50.52</v>
      </c>
      <c r="N94" s="282">
        <f t="shared" si="38"/>
        <v>50.519999999999996</v>
      </c>
      <c r="O94" s="271"/>
      <c r="P94" s="261"/>
      <c r="Q94" s="16">
        <v>1630020001</v>
      </c>
      <c r="R94" t="s">
        <v>548</v>
      </c>
      <c r="S94" s="343">
        <v>307.72000000000003</v>
      </c>
    </row>
    <row r="95" spans="2:19">
      <c r="B95" s="215">
        <v>2811600490</v>
      </c>
      <c r="E95" s="216">
        <f t="shared" si="35"/>
        <v>139.94</v>
      </c>
      <c r="F95" s="216">
        <v>104.96</v>
      </c>
      <c r="G95" s="174" t="s">
        <v>107</v>
      </c>
      <c r="H95" s="175">
        <v>50</v>
      </c>
      <c r="J95" s="49">
        <f t="shared" si="36"/>
        <v>2811500480</v>
      </c>
      <c r="K95" s="217">
        <f t="shared" si="37"/>
        <v>84.81</v>
      </c>
      <c r="L95" s="282">
        <v>59.02</v>
      </c>
      <c r="M95" s="282">
        <f t="shared" si="34"/>
        <v>63.61</v>
      </c>
      <c r="N95" s="282">
        <f t="shared" si="38"/>
        <v>63.607500000000002</v>
      </c>
      <c r="O95" s="271"/>
      <c r="P95" s="261"/>
      <c r="Q95" s="16">
        <v>1630032000</v>
      </c>
      <c r="R95" t="s">
        <v>549</v>
      </c>
      <c r="S95" s="348">
        <v>0.28000000000000003</v>
      </c>
    </row>
    <row r="96" spans="2:19">
      <c r="B96" s="215">
        <v>2811700490</v>
      </c>
      <c r="E96" s="216">
        <f t="shared" si="35"/>
        <v>176.5</v>
      </c>
      <c r="F96" s="216">
        <v>132.38</v>
      </c>
      <c r="G96" s="222" t="s">
        <v>1192</v>
      </c>
      <c r="J96" s="49">
        <f t="shared" si="36"/>
        <v>2811600490</v>
      </c>
      <c r="K96" s="217">
        <f t="shared" si="37"/>
        <v>139.94</v>
      </c>
      <c r="L96" s="282">
        <v>104.95</v>
      </c>
      <c r="M96" s="282">
        <f t="shared" si="34"/>
        <v>104.96</v>
      </c>
      <c r="N96" s="282">
        <f t="shared" si="38"/>
        <v>104.955</v>
      </c>
      <c r="O96" s="271"/>
      <c r="P96" s="261"/>
      <c r="Q96" s="16">
        <v>1630135800</v>
      </c>
      <c r="R96" t="s">
        <v>550</v>
      </c>
      <c r="S96" s="343">
        <v>31.44</v>
      </c>
    </row>
    <row r="97" spans="2:20">
      <c r="B97" s="215">
        <v>2810800400</v>
      </c>
      <c r="C97" s="203"/>
      <c r="D97" s="218"/>
      <c r="E97" s="216">
        <f t="shared" si="35"/>
        <v>190.7</v>
      </c>
      <c r="F97" s="216">
        <v>143.03</v>
      </c>
      <c r="G97" s="222" t="s">
        <v>1193</v>
      </c>
      <c r="J97" s="49">
        <f t="shared" si="36"/>
        <v>2811700490</v>
      </c>
      <c r="K97" s="217">
        <f t="shared" si="37"/>
        <v>176.5</v>
      </c>
      <c r="L97" s="282">
        <v>132.41</v>
      </c>
      <c r="M97" s="282">
        <f t="shared" si="34"/>
        <v>132.38</v>
      </c>
      <c r="N97" s="282">
        <f t="shared" si="38"/>
        <v>132.375</v>
      </c>
      <c r="O97" s="271"/>
      <c r="P97" s="261"/>
      <c r="Q97" s="16">
        <v>1630603310</v>
      </c>
      <c r="R97" t="s">
        <v>551</v>
      </c>
      <c r="S97" s="343">
        <v>1409.02</v>
      </c>
    </row>
    <row r="98" spans="2:20">
      <c r="B98" s="215">
        <v>2810900400</v>
      </c>
      <c r="C98" s="203"/>
      <c r="D98" s="218"/>
      <c r="E98" s="216">
        <f t="shared" si="35"/>
        <v>236.47</v>
      </c>
      <c r="F98" s="216">
        <v>177.35</v>
      </c>
      <c r="G98" s="174" t="s">
        <v>107</v>
      </c>
      <c r="H98" s="175">
        <v>100</v>
      </c>
      <c r="J98" s="49">
        <f t="shared" si="36"/>
        <v>2810800400</v>
      </c>
      <c r="K98" s="217">
        <f t="shared" si="37"/>
        <v>190.7</v>
      </c>
      <c r="L98" s="282">
        <v>139.97</v>
      </c>
      <c r="M98" s="282">
        <f t="shared" si="34"/>
        <v>143.03</v>
      </c>
      <c r="N98" s="282">
        <f t="shared" si="38"/>
        <v>143.02499999999998</v>
      </c>
      <c r="O98" s="271"/>
      <c r="P98" s="261"/>
      <c r="Q98" s="16">
        <v>2810000638</v>
      </c>
      <c r="R98" t="s">
        <v>572</v>
      </c>
      <c r="S98" s="349">
        <v>50.47</v>
      </c>
    </row>
    <row r="99" spans="2:20">
      <c r="B99" s="215">
        <v>2811100580</v>
      </c>
      <c r="C99" s="203"/>
      <c r="D99" s="218"/>
      <c r="E99" s="216">
        <f t="shared" si="35"/>
        <v>36.229999999999997</v>
      </c>
      <c r="F99" s="216">
        <v>27.17</v>
      </c>
      <c r="G99" s="174" t="s">
        <v>107</v>
      </c>
      <c r="H99" s="175">
        <v>158</v>
      </c>
      <c r="J99" s="49">
        <f t="shared" si="36"/>
        <v>2810900400</v>
      </c>
      <c r="K99" s="217">
        <f t="shared" si="37"/>
        <v>236.47</v>
      </c>
      <c r="L99" s="282">
        <v>173.58</v>
      </c>
      <c r="M99" s="282">
        <f t="shared" si="34"/>
        <v>177.35</v>
      </c>
      <c r="N99" s="282">
        <f t="shared" si="38"/>
        <v>177.35249999999999</v>
      </c>
      <c r="O99" s="271"/>
      <c r="P99" s="265"/>
      <c r="Q99" s="16">
        <v>2810000738</v>
      </c>
      <c r="R99" t="s">
        <v>573</v>
      </c>
      <c r="S99" s="349">
        <v>50.47</v>
      </c>
    </row>
    <row r="100" spans="2:20">
      <c r="B100" s="215">
        <v>2811200580</v>
      </c>
      <c r="C100" s="203"/>
      <c r="D100" s="218"/>
      <c r="E100" s="216">
        <f t="shared" ref="E100:E122" si="39">VLOOKUP(B100,$Q$14:$S$1164,3,FALSE)</f>
        <v>43.989999999999995</v>
      </c>
      <c r="F100" s="216">
        <v>32.99</v>
      </c>
      <c r="G100" s="174" t="s">
        <v>109</v>
      </c>
      <c r="H100" s="175">
        <v>20</v>
      </c>
      <c r="J100" s="49">
        <f t="shared" si="36"/>
        <v>2811100580</v>
      </c>
      <c r="K100" s="217">
        <f t="shared" si="37"/>
        <v>36.229999999999997</v>
      </c>
      <c r="L100" s="282">
        <v>25.21</v>
      </c>
      <c r="M100" s="282">
        <f t="shared" si="34"/>
        <v>27.17</v>
      </c>
      <c r="N100" s="282">
        <f t="shared" si="38"/>
        <v>27.172499999999999</v>
      </c>
      <c r="O100" s="271"/>
      <c r="P100" s="265"/>
      <c r="Q100" s="16">
        <v>2810003005</v>
      </c>
      <c r="R100" t="s">
        <v>574</v>
      </c>
      <c r="S100" s="349">
        <v>141.25</v>
      </c>
    </row>
    <row r="101" spans="2:20">
      <c r="B101" s="215">
        <v>2811400580</v>
      </c>
      <c r="C101" s="203"/>
      <c r="D101" s="218"/>
      <c r="E101" s="216">
        <f t="shared" si="39"/>
        <v>76.98</v>
      </c>
      <c r="F101" s="216">
        <v>57.74</v>
      </c>
      <c r="G101" s="174" t="s">
        <v>109</v>
      </c>
      <c r="H101" s="175">
        <v>26</v>
      </c>
      <c r="J101" s="49">
        <f t="shared" ref="J101:J123" si="40">B100*$K$13</f>
        <v>2811200580</v>
      </c>
      <c r="K101" s="217">
        <f t="shared" ref="K101:K123" si="41">VLOOKUP(J101,$Q$14:$S$1164,3,FALSE)</f>
        <v>43.989999999999995</v>
      </c>
      <c r="L101" s="282">
        <v>30.6</v>
      </c>
      <c r="M101" s="282">
        <f t="shared" si="34"/>
        <v>32.99</v>
      </c>
      <c r="N101" s="282">
        <f t="shared" ref="N101:N123" si="42">K101*$N$13</f>
        <v>32.992499999999993</v>
      </c>
      <c r="O101" s="271"/>
      <c r="P101" s="261"/>
      <c r="Q101" s="16">
        <v>2810003105</v>
      </c>
      <c r="R101" t="s">
        <v>575</v>
      </c>
      <c r="S101" s="349">
        <v>132.48999999999998</v>
      </c>
    </row>
    <row r="102" spans="2:20">
      <c r="B102" s="215">
        <v>2811500580</v>
      </c>
      <c r="C102" s="203"/>
      <c r="D102" s="218"/>
      <c r="E102" s="216">
        <f t="shared" si="39"/>
        <v>108.25</v>
      </c>
      <c r="F102" s="216">
        <v>81.19</v>
      </c>
      <c r="G102" s="174" t="s">
        <v>109</v>
      </c>
      <c r="H102" s="175">
        <v>40</v>
      </c>
      <c r="J102" s="49">
        <f t="shared" si="40"/>
        <v>2811400580</v>
      </c>
      <c r="K102" s="217">
        <f t="shared" si="41"/>
        <v>76.98</v>
      </c>
      <c r="L102" s="282">
        <v>53.59</v>
      </c>
      <c r="M102" s="282">
        <f t="shared" si="34"/>
        <v>57.74</v>
      </c>
      <c r="N102" s="282">
        <f t="shared" si="42"/>
        <v>57.734999999999999</v>
      </c>
      <c r="O102" s="271"/>
      <c r="P102" s="261"/>
      <c r="Q102" s="16">
        <v>2810003205</v>
      </c>
      <c r="R102" t="s">
        <v>576</v>
      </c>
      <c r="S102" s="349">
        <v>128.82</v>
      </c>
    </row>
    <row r="103" spans="2:20">
      <c r="B103" s="215">
        <v>2811600590</v>
      </c>
      <c r="E103" s="216">
        <f t="shared" si="39"/>
        <v>159.04</v>
      </c>
      <c r="F103" s="216">
        <v>119.28</v>
      </c>
      <c r="G103" s="174" t="s">
        <v>109</v>
      </c>
      <c r="H103" s="175">
        <v>50</v>
      </c>
      <c r="J103" s="49">
        <f t="shared" si="40"/>
        <v>2811500580</v>
      </c>
      <c r="K103" s="217">
        <f t="shared" si="41"/>
        <v>108.25</v>
      </c>
      <c r="L103" s="282">
        <v>75.34</v>
      </c>
      <c r="M103" s="282">
        <f t="shared" si="34"/>
        <v>81.19</v>
      </c>
      <c r="N103" s="282">
        <f t="shared" si="42"/>
        <v>81.1875</v>
      </c>
      <c r="O103" s="271"/>
      <c r="P103" s="261"/>
      <c r="Q103" s="16">
        <v>2810003310</v>
      </c>
      <c r="R103" t="s">
        <v>577</v>
      </c>
      <c r="S103" s="349">
        <v>23.44</v>
      </c>
    </row>
    <row r="104" spans="2:20">
      <c r="B104" s="215">
        <v>2811700590</v>
      </c>
      <c r="E104" s="216">
        <f t="shared" si="39"/>
        <v>232.03</v>
      </c>
      <c r="F104" s="216">
        <v>174.02</v>
      </c>
      <c r="G104" s="222" t="s">
        <v>1194</v>
      </c>
      <c r="J104" s="49">
        <f t="shared" si="40"/>
        <v>2811600590</v>
      </c>
      <c r="K104" s="217">
        <f t="shared" si="41"/>
        <v>159.04</v>
      </c>
      <c r="L104" s="282">
        <v>119.27</v>
      </c>
      <c r="M104" s="282">
        <f t="shared" si="34"/>
        <v>119.28</v>
      </c>
      <c r="N104" s="282">
        <f t="shared" si="42"/>
        <v>119.28</v>
      </c>
      <c r="O104" s="271"/>
      <c r="P104" s="261"/>
      <c r="Q104" s="16">
        <v>2810003410</v>
      </c>
      <c r="R104" t="s">
        <v>578</v>
      </c>
      <c r="S104" s="349">
        <v>13.49</v>
      </c>
    </row>
    <row r="105" spans="2:20">
      <c r="B105" s="215">
        <v>2810800500</v>
      </c>
      <c r="C105" s="203"/>
      <c r="D105" s="218"/>
      <c r="E105" s="216">
        <f t="shared" si="39"/>
        <v>191.10999999999999</v>
      </c>
      <c r="F105" s="216">
        <v>143.33000000000001</v>
      </c>
      <c r="G105" s="222" t="s">
        <v>1195</v>
      </c>
      <c r="J105" s="49">
        <f t="shared" si="40"/>
        <v>2811700590</v>
      </c>
      <c r="K105" s="217">
        <f t="shared" si="41"/>
        <v>232.03</v>
      </c>
      <c r="L105" s="282">
        <v>170.32</v>
      </c>
      <c r="M105" s="282">
        <f t="shared" si="34"/>
        <v>174.02</v>
      </c>
      <c r="N105" s="282">
        <f t="shared" si="42"/>
        <v>174.02250000000001</v>
      </c>
      <c r="O105" s="271"/>
      <c r="P105" s="261"/>
      <c r="Q105" s="16">
        <v>2810003510</v>
      </c>
      <c r="R105" t="s">
        <v>579</v>
      </c>
      <c r="S105" s="349">
        <v>64.100000000000009</v>
      </c>
    </row>
    <row r="106" spans="2:20">
      <c r="B106" s="215">
        <v>2810900500</v>
      </c>
      <c r="C106" s="203"/>
      <c r="D106" s="218"/>
      <c r="E106" s="216">
        <f t="shared" si="39"/>
        <v>345.64</v>
      </c>
      <c r="F106" s="216">
        <v>259.23</v>
      </c>
      <c r="G106" s="174" t="s">
        <v>1196</v>
      </c>
      <c r="H106" s="175">
        <v>100</v>
      </c>
      <c r="J106" s="49">
        <f t="shared" si="40"/>
        <v>2810800500</v>
      </c>
      <c r="K106" s="217">
        <f t="shared" si="41"/>
        <v>191.10999999999999</v>
      </c>
      <c r="L106" s="282">
        <v>140.28</v>
      </c>
      <c r="M106" s="282">
        <f t="shared" si="34"/>
        <v>143.33000000000001</v>
      </c>
      <c r="N106" s="282">
        <f t="shared" si="42"/>
        <v>143.33249999999998</v>
      </c>
      <c r="O106" s="271"/>
      <c r="P106" s="261"/>
      <c r="Q106" s="16">
        <v>2810003610</v>
      </c>
      <c r="R106" t="s">
        <v>580</v>
      </c>
      <c r="S106" s="349">
        <v>103.32000000000001</v>
      </c>
    </row>
    <row r="107" spans="2:20">
      <c r="B107" s="215">
        <v>2811210780</v>
      </c>
      <c r="C107" s="203"/>
      <c r="D107" s="218"/>
      <c r="E107" s="216">
        <f t="shared" si="39"/>
        <v>44.43</v>
      </c>
      <c r="F107" s="216">
        <v>33.32</v>
      </c>
      <c r="G107" s="174" t="s">
        <v>1197</v>
      </c>
      <c r="H107" s="175">
        <v>158</v>
      </c>
      <c r="J107" s="49">
        <f t="shared" si="40"/>
        <v>2810900500</v>
      </c>
      <c r="K107" s="217">
        <f t="shared" si="41"/>
        <v>345.64</v>
      </c>
      <c r="L107" s="282">
        <v>253.71</v>
      </c>
      <c r="M107" s="282">
        <f t="shared" si="34"/>
        <v>259.23</v>
      </c>
      <c r="N107" s="282">
        <f t="shared" si="42"/>
        <v>259.23</v>
      </c>
      <c r="O107" s="271"/>
      <c r="P107" s="261"/>
      <c r="Q107" s="16">
        <v>2810003710</v>
      </c>
      <c r="R107" t="s">
        <v>581</v>
      </c>
      <c r="S107" s="349">
        <v>130.01</v>
      </c>
    </row>
    <row r="108" spans="2:20">
      <c r="B108" s="215">
        <v>2811410780</v>
      </c>
      <c r="C108" s="203"/>
      <c r="D108" s="218"/>
      <c r="E108" s="216">
        <f t="shared" si="39"/>
        <v>89.100000000000009</v>
      </c>
      <c r="F108" s="216">
        <v>66.83</v>
      </c>
      <c r="G108" s="174" t="s">
        <v>1198</v>
      </c>
      <c r="H108" s="175">
        <v>25</v>
      </c>
      <c r="J108" s="49">
        <f t="shared" si="40"/>
        <v>2811210780</v>
      </c>
      <c r="K108" s="217">
        <f t="shared" si="41"/>
        <v>44.43</v>
      </c>
      <c r="L108" s="282">
        <v>30.91</v>
      </c>
      <c r="M108" s="282">
        <f t="shared" si="34"/>
        <v>33.32</v>
      </c>
      <c r="N108" s="282">
        <f t="shared" si="42"/>
        <v>33.322499999999998</v>
      </c>
      <c r="O108" s="271"/>
      <c r="P108" s="261"/>
      <c r="Q108" s="16">
        <v>2810003810</v>
      </c>
      <c r="R108" t="s">
        <v>582</v>
      </c>
      <c r="S108" s="349">
        <v>66.240000000000009</v>
      </c>
    </row>
    <row r="109" spans="2:20">
      <c r="B109" s="215">
        <v>2811420780</v>
      </c>
      <c r="C109" s="203"/>
      <c r="D109" s="218"/>
      <c r="E109" s="216">
        <f t="shared" si="39"/>
        <v>70.190000000000012</v>
      </c>
      <c r="F109" s="216">
        <v>52.64</v>
      </c>
      <c r="G109" s="174" t="s">
        <v>1198</v>
      </c>
      <c r="H109" s="175">
        <v>25</v>
      </c>
      <c r="J109" s="49">
        <f t="shared" si="40"/>
        <v>2811410780</v>
      </c>
      <c r="K109" s="217">
        <f t="shared" si="41"/>
        <v>89.100000000000009</v>
      </c>
      <c r="L109" s="282">
        <v>62.01</v>
      </c>
      <c r="M109" s="282">
        <f t="shared" si="34"/>
        <v>66.83</v>
      </c>
      <c r="N109" s="282">
        <f t="shared" si="42"/>
        <v>66.825000000000003</v>
      </c>
      <c r="O109" s="271"/>
      <c r="P109" s="261"/>
      <c r="Q109" s="16">
        <v>2810003910</v>
      </c>
      <c r="R109" t="s">
        <v>583</v>
      </c>
      <c r="S109" s="349">
        <v>38.82</v>
      </c>
    </row>
    <row r="110" spans="2:20">
      <c r="B110" s="215">
        <v>2811510780</v>
      </c>
      <c r="C110" s="203"/>
      <c r="D110" s="218"/>
      <c r="E110" s="216">
        <f t="shared" si="39"/>
        <v>95.9</v>
      </c>
      <c r="F110" s="216">
        <v>71.930000000000007</v>
      </c>
      <c r="G110" s="174" t="s">
        <v>1198</v>
      </c>
      <c r="H110" s="175">
        <v>40</v>
      </c>
      <c r="J110" s="49">
        <f t="shared" si="40"/>
        <v>2811420780</v>
      </c>
      <c r="K110" s="217">
        <f t="shared" si="41"/>
        <v>70.190000000000012</v>
      </c>
      <c r="L110" s="282">
        <v>51.1</v>
      </c>
      <c r="M110" s="282">
        <f t="shared" si="34"/>
        <v>52.64</v>
      </c>
      <c r="N110" s="282">
        <f t="shared" si="42"/>
        <v>52.642500000000013</v>
      </c>
      <c r="O110" s="271"/>
      <c r="P110" s="261"/>
      <c r="Q110" s="16">
        <v>2810004000</v>
      </c>
      <c r="R110" t="s">
        <v>584</v>
      </c>
      <c r="S110" s="349">
        <v>163.92</v>
      </c>
      <c r="T110">
        <v>180.31</v>
      </c>
    </row>
    <row r="111" spans="2:20">
      <c r="B111" s="215">
        <v>2811520780</v>
      </c>
      <c r="C111" s="203"/>
      <c r="D111" s="218"/>
      <c r="E111" s="216">
        <f t="shared" si="39"/>
        <v>114.04</v>
      </c>
      <c r="F111" s="216">
        <v>85.53</v>
      </c>
      <c r="G111" s="174" t="s">
        <v>1198</v>
      </c>
      <c r="H111" s="175">
        <v>50</v>
      </c>
      <c r="J111" s="49">
        <f t="shared" si="40"/>
        <v>2811510780</v>
      </c>
      <c r="K111" s="217">
        <f t="shared" si="41"/>
        <v>95.9</v>
      </c>
      <c r="L111" s="282">
        <v>69.819999999999993</v>
      </c>
      <c r="M111" s="282">
        <f t="shared" si="34"/>
        <v>71.930000000000007</v>
      </c>
      <c r="N111" s="282">
        <f t="shared" si="42"/>
        <v>71.925000000000011</v>
      </c>
      <c r="O111" s="271"/>
      <c r="P111" s="261"/>
      <c r="Q111" s="16">
        <v>2810004100</v>
      </c>
      <c r="R111" s="350" t="s">
        <v>584</v>
      </c>
      <c r="S111" s="349">
        <v>50.879999999999995</v>
      </c>
      <c r="T111">
        <v>55.97</v>
      </c>
    </row>
    <row r="112" spans="2:20">
      <c r="B112" s="215">
        <v>2811540780</v>
      </c>
      <c r="C112" s="203"/>
      <c r="D112" s="218"/>
      <c r="E112" s="216">
        <f t="shared" si="39"/>
        <v>148.51999999999998</v>
      </c>
      <c r="F112" s="216">
        <v>111.39</v>
      </c>
      <c r="G112" s="174" t="s">
        <v>1198</v>
      </c>
      <c r="H112" s="175">
        <v>50</v>
      </c>
      <c r="J112" s="49">
        <f t="shared" si="40"/>
        <v>2811520780</v>
      </c>
      <c r="K112" s="217">
        <f t="shared" si="41"/>
        <v>114.04</v>
      </c>
      <c r="L112" s="282">
        <v>79.37</v>
      </c>
      <c r="M112" s="282">
        <f t="shared" si="34"/>
        <v>85.53</v>
      </c>
      <c r="N112" s="282">
        <f t="shared" si="42"/>
        <v>85.53</v>
      </c>
      <c r="O112" s="271"/>
      <c r="P112" s="261"/>
      <c r="Q112" s="16">
        <v>2810004200</v>
      </c>
      <c r="R112" s="347" t="s">
        <v>585</v>
      </c>
      <c r="S112" s="349">
        <v>23.270000000000003</v>
      </c>
      <c r="T112">
        <v>25.6</v>
      </c>
    </row>
    <row r="113" spans="2:20">
      <c r="B113" s="215">
        <v>2811640790</v>
      </c>
      <c r="E113" s="216">
        <f t="shared" si="39"/>
        <v>184.14999999999998</v>
      </c>
      <c r="F113" s="216">
        <v>138.11000000000001</v>
      </c>
      <c r="G113" s="174" t="s">
        <v>1198</v>
      </c>
      <c r="H113" s="175">
        <v>50</v>
      </c>
      <c r="J113" s="49">
        <f t="shared" si="40"/>
        <v>2811540780</v>
      </c>
      <c r="K113" s="217">
        <f t="shared" si="41"/>
        <v>148.51999999999998</v>
      </c>
      <c r="L113" s="282">
        <v>103.36</v>
      </c>
      <c r="M113" s="282">
        <f t="shared" si="34"/>
        <v>111.39</v>
      </c>
      <c r="N113" s="282">
        <f t="shared" si="42"/>
        <v>111.38999999999999</v>
      </c>
      <c r="O113" s="271"/>
      <c r="P113" s="261"/>
      <c r="Q113" s="16">
        <v>2810004300</v>
      </c>
      <c r="R113" s="347" t="s">
        <v>584</v>
      </c>
      <c r="S113" s="349">
        <v>9.56</v>
      </c>
      <c r="T113">
        <v>10.52</v>
      </c>
    </row>
    <row r="114" spans="2:20">
      <c r="B114" s="215">
        <v>2811650790</v>
      </c>
      <c r="E114" s="216">
        <f t="shared" si="39"/>
        <v>178.74</v>
      </c>
      <c r="F114" s="216">
        <v>134.06</v>
      </c>
      <c r="G114" s="222" t="s">
        <v>1199</v>
      </c>
      <c r="J114" s="49">
        <f t="shared" si="40"/>
        <v>2811640790</v>
      </c>
      <c r="K114" s="217">
        <f t="shared" si="41"/>
        <v>184.14999999999998</v>
      </c>
      <c r="L114" s="282">
        <v>134.08000000000001</v>
      </c>
      <c r="M114" s="282">
        <f t="shared" si="34"/>
        <v>138.11000000000001</v>
      </c>
      <c r="N114" s="282">
        <f t="shared" si="42"/>
        <v>138.11249999999998</v>
      </c>
      <c r="O114" s="271"/>
      <c r="P114" s="261"/>
      <c r="Q114" s="16">
        <v>2810004400</v>
      </c>
      <c r="R114" s="347" t="s">
        <v>584</v>
      </c>
      <c r="S114" s="349">
        <v>9.74</v>
      </c>
      <c r="T114">
        <v>10.71</v>
      </c>
    </row>
    <row r="115" spans="2:20">
      <c r="B115" s="215">
        <v>2811740790</v>
      </c>
      <c r="E115" s="216">
        <f t="shared" si="39"/>
        <v>233.84</v>
      </c>
      <c r="F115" s="216">
        <v>175.38</v>
      </c>
      <c r="G115" s="222" t="s">
        <v>1200</v>
      </c>
      <c r="J115" s="49">
        <f t="shared" si="40"/>
        <v>2811650790</v>
      </c>
      <c r="K115" s="217">
        <f t="shared" si="41"/>
        <v>178.74</v>
      </c>
      <c r="L115" s="282">
        <v>134.05000000000001</v>
      </c>
      <c r="M115" s="282">
        <f t="shared" si="34"/>
        <v>134.06</v>
      </c>
      <c r="N115" s="282">
        <f t="shared" si="42"/>
        <v>134.05500000000001</v>
      </c>
      <c r="O115" s="271"/>
      <c r="P115" s="261"/>
      <c r="Q115" s="16">
        <v>2810004800</v>
      </c>
      <c r="R115" s="347" t="s">
        <v>553</v>
      </c>
      <c r="S115" s="343">
        <v>3.42</v>
      </c>
      <c r="T115">
        <v>3.99</v>
      </c>
    </row>
    <row r="116" spans="2:20">
      <c r="B116" s="215">
        <v>2811750790</v>
      </c>
      <c r="E116" s="216">
        <f t="shared" si="39"/>
        <v>226.99</v>
      </c>
      <c r="F116" s="216">
        <v>170.24</v>
      </c>
      <c r="G116" s="222" t="s">
        <v>1201</v>
      </c>
      <c r="J116" s="49">
        <f t="shared" si="40"/>
        <v>2811740790</v>
      </c>
      <c r="K116" s="217">
        <f t="shared" si="41"/>
        <v>233.84</v>
      </c>
      <c r="L116" s="282">
        <v>170.27</v>
      </c>
      <c r="M116" s="282">
        <f t="shared" si="34"/>
        <v>175.38</v>
      </c>
      <c r="N116" s="282">
        <f t="shared" si="42"/>
        <v>175.38</v>
      </c>
      <c r="O116" s="271"/>
      <c r="P116" s="261"/>
      <c r="Q116" s="16">
        <v>2810004900</v>
      </c>
      <c r="R116" t="s">
        <v>584</v>
      </c>
      <c r="S116" s="349">
        <v>1.95</v>
      </c>
    </row>
    <row r="117" spans="2:20">
      <c r="B117" s="215">
        <v>2811760790</v>
      </c>
      <c r="E117" s="216">
        <f t="shared" si="39"/>
        <v>226.92999999999998</v>
      </c>
      <c r="F117" s="216">
        <v>170.2</v>
      </c>
      <c r="G117" s="222" t="s">
        <v>1202</v>
      </c>
      <c r="J117" s="49">
        <f t="shared" si="40"/>
        <v>2811750790</v>
      </c>
      <c r="K117" s="217">
        <f t="shared" si="41"/>
        <v>226.99</v>
      </c>
      <c r="L117" s="282">
        <v>170.24</v>
      </c>
      <c r="M117" s="282">
        <f t="shared" si="34"/>
        <v>170.24</v>
      </c>
      <c r="N117" s="282">
        <f t="shared" si="42"/>
        <v>170.24250000000001</v>
      </c>
      <c r="O117" s="271"/>
      <c r="P117" s="261"/>
      <c r="Q117" s="16">
        <v>2810005500</v>
      </c>
      <c r="R117" t="s">
        <v>586</v>
      </c>
      <c r="S117" s="349">
        <v>102.36</v>
      </c>
    </row>
    <row r="118" spans="2:20">
      <c r="B118" s="215">
        <v>2810850700</v>
      </c>
      <c r="C118" s="203"/>
      <c r="D118" s="224"/>
      <c r="E118" s="216">
        <f t="shared" si="39"/>
        <v>196.84</v>
      </c>
      <c r="F118" s="216">
        <v>147.63</v>
      </c>
      <c r="G118" s="222" t="s">
        <v>1203</v>
      </c>
      <c r="J118" s="49">
        <f t="shared" si="40"/>
        <v>2811760790</v>
      </c>
      <c r="K118" s="217">
        <f t="shared" si="41"/>
        <v>226.92999999999998</v>
      </c>
      <c r="L118" s="282">
        <v>170.25</v>
      </c>
      <c r="M118" s="282">
        <f t="shared" si="34"/>
        <v>170.2</v>
      </c>
      <c r="N118" s="282">
        <f t="shared" si="42"/>
        <v>170.19749999999999</v>
      </c>
      <c r="O118" s="271"/>
      <c r="P118" s="261"/>
      <c r="Q118" s="16">
        <v>2810005501</v>
      </c>
      <c r="R118" t="s">
        <v>587</v>
      </c>
      <c r="S118" s="349">
        <v>110.5</v>
      </c>
    </row>
    <row r="119" spans="2:20">
      <c r="B119" s="215">
        <v>2810860700</v>
      </c>
      <c r="C119" s="203"/>
      <c r="D119" s="224"/>
      <c r="E119" s="216">
        <f t="shared" si="39"/>
        <v>201.73999999999998</v>
      </c>
      <c r="F119" s="216">
        <v>151.31</v>
      </c>
      <c r="G119" s="174" t="s">
        <v>1198</v>
      </c>
      <c r="H119" s="175">
        <v>100</v>
      </c>
      <c r="J119" s="49">
        <f t="shared" si="40"/>
        <v>2810850700</v>
      </c>
      <c r="K119" s="217">
        <f t="shared" si="41"/>
        <v>196.84</v>
      </c>
      <c r="L119" s="282">
        <v>144.49</v>
      </c>
      <c r="M119" s="282">
        <f t="shared" si="34"/>
        <v>147.63</v>
      </c>
      <c r="N119" s="282">
        <f t="shared" si="42"/>
        <v>147.63</v>
      </c>
      <c r="O119" s="271"/>
      <c r="P119" s="265"/>
      <c r="Q119" s="16">
        <v>2810012710</v>
      </c>
      <c r="R119" t="s">
        <v>1204</v>
      </c>
      <c r="S119" s="349">
        <v>128.60999999999999</v>
      </c>
    </row>
    <row r="120" spans="2:20">
      <c r="B120" s="215">
        <v>2810870700</v>
      </c>
      <c r="C120" s="203"/>
      <c r="D120" s="224"/>
      <c r="E120" s="216">
        <f t="shared" si="39"/>
        <v>226.5</v>
      </c>
      <c r="F120" s="216">
        <v>169.88</v>
      </c>
      <c r="G120" s="174" t="s">
        <v>1198</v>
      </c>
      <c r="H120" s="175">
        <v>100</v>
      </c>
      <c r="J120" s="49">
        <f t="shared" si="40"/>
        <v>2810860700</v>
      </c>
      <c r="K120" s="217">
        <f t="shared" si="41"/>
        <v>201.73999999999998</v>
      </c>
      <c r="L120" s="282">
        <v>148.09</v>
      </c>
      <c r="M120" s="282">
        <f t="shared" si="34"/>
        <v>151.31</v>
      </c>
      <c r="N120" s="282">
        <f t="shared" si="42"/>
        <v>151.30499999999998</v>
      </c>
      <c r="O120" s="271"/>
      <c r="P120" s="265"/>
      <c r="Q120" s="16">
        <v>2810013200</v>
      </c>
      <c r="R120" t="s">
        <v>588</v>
      </c>
      <c r="S120" s="349">
        <v>35.909999999999997</v>
      </c>
    </row>
    <row r="121" spans="2:20">
      <c r="B121" s="215">
        <v>2810970700</v>
      </c>
      <c r="C121" s="203"/>
      <c r="D121" s="224"/>
      <c r="E121" s="216">
        <f t="shared" si="39"/>
        <v>225.29</v>
      </c>
      <c r="F121" s="216">
        <v>168.97</v>
      </c>
      <c r="G121" s="174" t="s">
        <v>1198</v>
      </c>
      <c r="H121" s="175">
        <v>100</v>
      </c>
      <c r="J121" s="49">
        <f t="shared" si="40"/>
        <v>2810870700</v>
      </c>
      <c r="K121" s="217">
        <f t="shared" si="41"/>
        <v>226.5</v>
      </c>
      <c r="L121" s="282">
        <v>166.27</v>
      </c>
      <c r="M121" s="282">
        <f t="shared" si="34"/>
        <v>169.88</v>
      </c>
      <c r="N121" s="282">
        <f t="shared" si="42"/>
        <v>169.875</v>
      </c>
      <c r="O121" s="271"/>
      <c r="P121" s="265"/>
      <c r="Q121" s="16">
        <v>2810013310</v>
      </c>
      <c r="R121" t="s">
        <v>589</v>
      </c>
      <c r="S121" s="349">
        <v>24.37</v>
      </c>
    </row>
    <row r="122" spans="2:20">
      <c r="B122" s="215">
        <v>2810980700</v>
      </c>
      <c r="C122" s="203"/>
      <c r="D122" s="224"/>
      <c r="E122" s="216">
        <f t="shared" si="39"/>
        <v>225.29</v>
      </c>
      <c r="F122" s="216">
        <v>168.97</v>
      </c>
      <c r="G122" s="174" t="s">
        <v>1198</v>
      </c>
      <c r="H122" s="175">
        <v>158</v>
      </c>
      <c r="J122" s="49">
        <f t="shared" si="40"/>
        <v>2810970700</v>
      </c>
      <c r="K122" s="217">
        <f t="shared" si="41"/>
        <v>225.29</v>
      </c>
      <c r="L122" s="282">
        <v>165.37</v>
      </c>
      <c r="M122" s="282">
        <f t="shared" si="34"/>
        <v>168.97</v>
      </c>
      <c r="N122" s="282">
        <f t="shared" si="42"/>
        <v>168.9675</v>
      </c>
      <c r="O122" s="271"/>
      <c r="P122" s="265"/>
      <c r="Q122" s="16">
        <v>2810013510</v>
      </c>
      <c r="R122" t="s">
        <v>590</v>
      </c>
      <c r="S122" s="349">
        <v>55.51</v>
      </c>
    </row>
    <row r="123" spans="2:20">
      <c r="B123" s="215"/>
      <c r="C123" s="203"/>
      <c r="D123" s="223"/>
      <c r="E123" s="216"/>
      <c r="F123" s="216"/>
      <c r="G123" s="174" t="s">
        <v>1198</v>
      </c>
      <c r="H123" s="175">
        <v>158</v>
      </c>
      <c r="J123" s="49">
        <f t="shared" si="40"/>
        <v>2810980700</v>
      </c>
      <c r="K123" s="217">
        <f t="shared" si="41"/>
        <v>225.29</v>
      </c>
      <c r="L123" s="282">
        <v>165.37</v>
      </c>
      <c r="M123" s="282">
        <f t="shared" si="34"/>
        <v>168.97</v>
      </c>
      <c r="N123" s="282">
        <f t="shared" si="42"/>
        <v>168.9675</v>
      </c>
      <c r="O123" s="271"/>
      <c r="P123" s="265"/>
      <c r="Q123" s="16">
        <v>2810013810</v>
      </c>
      <c r="R123" t="s">
        <v>591</v>
      </c>
      <c r="S123" s="349">
        <v>131.19</v>
      </c>
    </row>
    <row r="124" spans="2:20">
      <c r="B124" s="215">
        <v>2811000980</v>
      </c>
      <c r="C124" s="203"/>
      <c r="D124" s="223"/>
      <c r="E124" s="216">
        <f t="shared" ref="E124:E132" si="43">VLOOKUP(B124,$Q$14:$S$1164,3,FALSE)</f>
        <v>81.59</v>
      </c>
      <c r="F124" s="216">
        <v>61.19</v>
      </c>
      <c r="K124" s="217"/>
      <c r="L124" s="282"/>
      <c r="M124" s="282"/>
      <c r="N124" s="283"/>
      <c r="O124" s="271"/>
      <c r="P124" s="265"/>
      <c r="Q124" s="16">
        <v>2810014000</v>
      </c>
      <c r="R124" s="347" t="s">
        <v>584</v>
      </c>
      <c r="S124" s="349">
        <v>188.89</v>
      </c>
      <c r="T124">
        <v>207.78</v>
      </c>
    </row>
    <row r="125" spans="2:20">
      <c r="B125" s="215">
        <v>2811100980</v>
      </c>
      <c r="C125" s="203"/>
      <c r="D125" s="223"/>
      <c r="E125" s="216">
        <f t="shared" si="43"/>
        <v>82.710000000000008</v>
      </c>
      <c r="F125" s="216">
        <v>62.03</v>
      </c>
      <c r="G125" s="174" t="s">
        <v>1205</v>
      </c>
      <c r="H125" s="175">
        <v>20</v>
      </c>
      <c r="J125" s="49">
        <f t="shared" ref="J125:J133" si="44">B124*$K$13</f>
        <v>2811000980</v>
      </c>
      <c r="K125" s="217">
        <f t="shared" ref="K125:K133" si="45">VLOOKUP(J125,$Q$14:$S$1164,3,FALSE)</f>
        <v>81.59</v>
      </c>
      <c r="L125" s="282">
        <v>59.41</v>
      </c>
      <c r="M125" s="282">
        <f t="shared" si="34"/>
        <v>61.19</v>
      </c>
      <c r="N125" s="282">
        <f t="shared" ref="N125:N133" si="46">K125*$N$13</f>
        <v>61.192500000000003</v>
      </c>
      <c r="O125" s="271"/>
      <c r="P125" s="265"/>
      <c r="Q125" s="16">
        <v>2810014100</v>
      </c>
      <c r="R125" t="s">
        <v>584</v>
      </c>
      <c r="S125" s="349">
        <v>135.89999999999998</v>
      </c>
      <c r="T125">
        <v>149.49</v>
      </c>
    </row>
    <row r="126" spans="2:20">
      <c r="B126" s="215">
        <v>2811200980</v>
      </c>
      <c r="C126" s="203"/>
      <c r="D126" s="223"/>
      <c r="E126" s="216">
        <f t="shared" si="43"/>
        <v>95.710000000000008</v>
      </c>
      <c r="F126" s="216">
        <v>71.78</v>
      </c>
      <c r="G126" s="174" t="s">
        <v>1205</v>
      </c>
      <c r="H126" s="175">
        <v>20</v>
      </c>
      <c r="J126" s="49">
        <f t="shared" si="44"/>
        <v>2811100980</v>
      </c>
      <c r="K126" s="217">
        <f t="shared" si="45"/>
        <v>82.710000000000008</v>
      </c>
      <c r="L126" s="282">
        <v>60.23</v>
      </c>
      <c r="M126" s="282">
        <f t="shared" si="34"/>
        <v>62.03</v>
      </c>
      <c r="N126" s="282">
        <f t="shared" si="46"/>
        <v>62.032500000000006</v>
      </c>
      <c r="O126" s="271"/>
      <c r="P126" s="265"/>
      <c r="Q126" s="16">
        <v>2810014300</v>
      </c>
      <c r="R126" s="347" t="s">
        <v>584</v>
      </c>
      <c r="S126" s="349">
        <v>8.379999999999999</v>
      </c>
      <c r="T126">
        <v>9.2200000000000006</v>
      </c>
    </row>
    <row r="127" spans="2:20">
      <c r="B127" s="215">
        <v>2811210980</v>
      </c>
      <c r="C127" s="203"/>
      <c r="D127" s="223"/>
      <c r="E127" s="216">
        <f t="shared" si="43"/>
        <v>91.7</v>
      </c>
      <c r="F127" s="216">
        <v>68.78</v>
      </c>
      <c r="G127" s="174" t="s">
        <v>1205</v>
      </c>
      <c r="H127" s="175">
        <v>25</v>
      </c>
      <c r="J127" s="49">
        <f t="shared" si="44"/>
        <v>2811200980</v>
      </c>
      <c r="K127" s="217">
        <f t="shared" si="45"/>
        <v>95.710000000000008</v>
      </c>
      <c r="L127" s="282">
        <v>69.680000000000007</v>
      </c>
      <c r="M127" s="282">
        <f t="shared" si="34"/>
        <v>71.78</v>
      </c>
      <c r="N127" s="282">
        <f t="shared" si="46"/>
        <v>71.782499999999999</v>
      </c>
      <c r="O127" s="271"/>
      <c r="P127" s="265"/>
      <c r="Q127" s="16">
        <v>2810014800</v>
      </c>
      <c r="R127" s="347" t="s">
        <v>592</v>
      </c>
      <c r="S127" s="349">
        <v>13.4</v>
      </c>
      <c r="T127">
        <v>14.74</v>
      </c>
    </row>
    <row r="128" spans="2:20">
      <c r="B128" s="215">
        <v>2811420980</v>
      </c>
      <c r="C128" s="203"/>
      <c r="D128" s="223"/>
      <c r="E128" s="216">
        <f t="shared" si="43"/>
        <v>154.6</v>
      </c>
      <c r="F128" s="216">
        <v>115.95</v>
      </c>
      <c r="G128" s="174" t="s">
        <v>1205</v>
      </c>
      <c r="H128" s="175">
        <v>25</v>
      </c>
      <c r="J128" s="49">
        <f t="shared" si="44"/>
        <v>2811210980</v>
      </c>
      <c r="K128" s="217">
        <f t="shared" si="45"/>
        <v>91.7</v>
      </c>
      <c r="L128" s="282">
        <v>66.77</v>
      </c>
      <c r="M128" s="282">
        <f t="shared" si="34"/>
        <v>68.78</v>
      </c>
      <c r="N128" s="282">
        <f t="shared" si="46"/>
        <v>68.775000000000006</v>
      </c>
      <c r="O128" s="271"/>
      <c r="P128" s="265"/>
      <c r="Q128" s="16">
        <v>2810015408</v>
      </c>
      <c r="R128" t="s">
        <v>593</v>
      </c>
      <c r="S128" s="349">
        <v>77.09</v>
      </c>
    </row>
    <row r="129" spans="2:20">
      <c r="B129" s="215">
        <v>2811520980</v>
      </c>
      <c r="C129" s="203"/>
      <c r="D129" s="223"/>
      <c r="E129" s="216">
        <f t="shared" si="43"/>
        <v>170.94</v>
      </c>
      <c r="F129" s="216">
        <v>128.21</v>
      </c>
      <c r="G129" s="174" t="s">
        <v>1205</v>
      </c>
      <c r="J129" s="49">
        <f t="shared" si="44"/>
        <v>2811420980</v>
      </c>
      <c r="K129" s="217">
        <f t="shared" si="45"/>
        <v>154.6</v>
      </c>
      <c r="L129" s="282">
        <v>112.57</v>
      </c>
      <c r="M129" s="282">
        <f t="shared" si="34"/>
        <v>115.95</v>
      </c>
      <c r="N129" s="282">
        <f t="shared" si="46"/>
        <v>115.94999999999999</v>
      </c>
      <c r="O129" s="271"/>
      <c r="P129" s="265"/>
      <c r="Q129" s="16">
        <v>2810019100</v>
      </c>
      <c r="R129" t="s">
        <v>594</v>
      </c>
      <c r="S129" s="349">
        <v>41.07</v>
      </c>
    </row>
    <row r="130" spans="2:20">
      <c r="B130" s="215">
        <v>2811650990</v>
      </c>
      <c r="E130" s="216">
        <f t="shared" si="43"/>
        <v>178.78</v>
      </c>
      <c r="F130" s="216">
        <v>134.09</v>
      </c>
      <c r="G130" s="174" t="s">
        <v>1205</v>
      </c>
      <c r="H130" s="175">
        <v>50</v>
      </c>
      <c r="J130" s="49">
        <f t="shared" si="44"/>
        <v>2811520980</v>
      </c>
      <c r="K130" s="217">
        <f t="shared" si="45"/>
        <v>170.94</v>
      </c>
      <c r="L130" s="282">
        <v>124.47</v>
      </c>
      <c r="M130" s="282">
        <f t="shared" si="34"/>
        <v>128.21</v>
      </c>
      <c r="N130" s="282">
        <f t="shared" si="46"/>
        <v>128.20499999999998</v>
      </c>
      <c r="O130" s="271"/>
      <c r="P130" s="265"/>
      <c r="Q130" s="16">
        <v>2810022710</v>
      </c>
      <c r="R130" t="s">
        <v>595</v>
      </c>
      <c r="S130" s="349">
        <v>300.90999999999997</v>
      </c>
    </row>
    <row r="131" spans="2:20">
      <c r="B131" s="215">
        <v>2811760990</v>
      </c>
      <c r="E131" s="216">
        <f t="shared" si="43"/>
        <v>383.02</v>
      </c>
      <c r="F131" s="216">
        <v>287.27</v>
      </c>
      <c r="G131" s="222" t="s">
        <v>1206</v>
      </c>
      <c r="J131" s="49">
        <f t="shared" si="44"/>
        <v>2811650990</v>
      </c>
      <c r="K131" s="217">
        <f t="shared" si="45"/>
        <v>178.78</v>
      </c>
      <c r="L131" s="282">
        <v>134.08000000000001</v>
      </c>
      <c r="M131" s="282">
        <f t="shared" ref="M131:M154" si="47">ROUND(N131,2)</f>
        <v>134.09</v>
      </c>
      <c r="N131" s="282">
        <f t="shared" si="46"/>
        <v>134.08500000000001</v>
      </c>
      <c r="O131" s="271"/>
      <c r="P131" s="265"/>
      <c r="Q131" s="16">
        <v>2810023510</v>
      </c>
      <c r="R131" t="s">
        <v>596</v>
      </c>
      <c r="S131" s="349">
        <v>58.87</v>
      </c>
    </row>
    <row r="132" spans="2:20">
      <c r="B132" s="215">
        <v>2811770990</v>
      </c>
      <c r="E132" s="216">
        <f t="shared" si="43"/>
        <v>194.44</v>
      </c>
      <c r="F132" s="216">
        <v>145.83000000000001</v>
      </c>
      <c r="G132" s="222" t="s">
        <v>1207</v>
      </c>
      <c r="J132" s="49">
        <f t="shared" si="44"/>
        <v>2811760990</v>
      </c>
      <c r="K132" s="217">
        <f t="shared" si="45"/>
        <v>383.02</v>
      </c>
      <c r="L132" s="282">
        <v>287.26</v>
      </c>
      <c r="M132" s="282">
        <f t="shared" si="47"/>
        <v>287.27</v>
      </c>
      <c r="N132" s="282">
        <f t="shared" si="46"/>
        <v>287.26499999999999</v>
      </c>
      <c r="O132" s="271"/>
      <c r="P132" s="265"/>
      <c r="Q132" s="16">
        <v>2810023805</v>
      </c>
      <c r="R132" t="s">
        <v>554</v>
      </c>
      <c r="S132" s="343">
        <v>40.159999999999997</v>
      </c>
    </row>
    <row r="133" spans="2:20">
      <c r="B133" s="215"/>
      <c r="C133" s="203"/>
      <c r="D133" s="223"/>
      <c r="E133" s="216"/>
      <c r="F133" s="216"/>
      <c r="G133" s="222" t="s">
        <v>1208</v>
      </c>
      <c r="J133" s="49">
        <f t="shared" si="44"/>
        <v>2811770990</v>
      </c>
      <c r="K133" s="217">
        <f t="shared" si="45"/>
        <v>194.44</v>
      </c>
      <c r="L133" s="282">
        <v>145.82</v>
      </c>
      <c r="M133" s="282">
        <f t="shared" si="47"/>
        <v>145.83000000000001</v>
      </c>
      <c r="N133" s="282">
        <f t="shared" si="46"/>
        <v>145.82999999999998</v>
      </c>
      <c r="O133" s="271"/>
      <c r="P133" s="265"/>
      <c r="Q133" s="16">
        <v>2810023810</v>
      </c>
      <c r="R133" t="s">
        <v>555</v>
      </c>
      <c r="S133" s="343">
        <v>106.71</v>
      </c>
    </row>
    <row r="134" spans="2:20">
      <c r="K134" s="217"/>
      <c r="L134" s="282"/>
      <c r="M134" s="282"/>
      <c r="N134" s="283"/>
      <c r="O134" s="271"/>
      <c r="P134" s="265"/>
      <c r="Q134" s="16">
        <v>2810024000</v>
      </c>
      <c r="R134" s="347" t="s">
        <v>597</v>
      </c>
      <c r="S134" s="349">
        <v>269.2</v>
      </c>
      <c r="T134">
        <v>314.42</v>
      </c>
    </row>
    <row r="135" spans="2:20">
      <c r="B135" s="215">
        <v>2810820900</v>
      </c>
      <c r="C135" s="203"/>
      <c r="D135" s="224"/>
      <c r="E135" s="216">
        <f t="shared" ref="E135:E154" si="48">VLOOKUP(B135,$Q$14:$S$1164,3,FALSE)</f>
        <v>160.48999999999998</v>
      </c>
      <c r="F135" s="216">
        <v>120.37</v>
      </c>
      <c r="G135" s="174" t="s">
        <v>1209</v>
      </c>
      <c r="H135" s="175">
        <v>100</v>
      </c>
      <c r="J135" s="49">
        <f t="shared" ref="J135:J154" si="49">B135*$K$13</f>
        <v>2810820900</v>
      </c>
      <c r="K135" s="217">
        <f t="shared" ref="K135:K154" si="50">VLOOKUP(J135,$Q$14:$S$1164,3,FALSE)</f>
        <v>160.48999999999998</v>
      </c>
      <c r="L135" s="282">
        <v>116.86</v>
      </c>
      <c r="M135" s="282">
        <f t="shared" si="47"/>
        <v>120.37</v>
      </c>
      <c r="N135" s="282">
        <f t="shared" ref="N135:N154" si="51">K135*$N$13</f>
        <v>120.36749999999998</v>
      </c>
      <c r="O135" s="271"/>
      <c r="P135" s="265"/>
      <c r="Q135" s="16">
        <v>2810024300</v>
      </c>
      <c r="R135" s="347" t="s">
        <v>598</v>
      </c>
      <c r="S135" s="349">
        <v>5.33</v>
      </c>
      <c r="T135">
        <v>6.21</v>
      </c>
    </row>
    <row r="136" spans="2:20">
      <c r="B136" s="215">
        <v>2810920900</v>
      </c>
      <c r="C136" s="203"/>
      <c r="D136" s="224"/>
      <c r="E136" s="216">
        <f t="shared" si="48"/>
        <v>410.48</v>
      </c>
      <c r="F136" s="216">
        <v>307.86</v>
      </c>
      <c r="G136" s="174" t="s">
        <v>1209</v>
      </c>
      <c r="H136" s="175">
        <v>158</v>
      </c>
      <c r="J136" s="49">
        <f t="shared" si="49"/>
        <v>2810920900</v>
      </c>
      <c r="K136" s="217">
        <f t="shared" si="50"/>
        <v>410.48</v>
      </c>
      <c r="L136" s="282">
        <v>298.89</v>
      </c>
      <c r="M136" s="282">
        <f t="shared" si="47"/>
        <v>307.86</v>
      </c>
      <c r="N136" s="282">
        <f t="shared" si="51"/>
        <v>307.86</v>
      </c>
      <c r="O136" s="271"/>
      <c r="P136" s="261"/>
      <c r="Q136" s="16">
        <v>2810024800</v>
      </c>
      <c r="R136" s="347" t="s">
        <v>599</v>
      </c>
      <c r="S136" s="349">
        <v>254.67</v>
      </c>
    </row>
    <row r="137" spans="2:20">
      <c r="B137" s="215">
        <v>2811211080</v>
      </c>
      <c r="C137" s="203"/>
      <c r="D137" s="218"/>
      <c r="E137" s="216">
        <f t="shared" si="48"/>
        <v>35.64</v>
      </c>
      <c r="F137" s="216">
        <v>26.73</v>
      </c>
      <c r="G137" s="174" t="s">
        <v>1210</v>
      </c>
      <c r="H137" s="175">
        <v>25</v>
      </c>
      <c r="J137" s="49">
        <f t="shared" si="49"/>
        <v>2811211080</v>
      </c>
      <c r="K137" s="217">
        <f t="shared" si="50"/>
        <v>35.64</v>
      </c>
      <c r="L137" s="282">
        <v>24.81</v>
      </c>
      <c r="M137" s="282">
        <f t="shared" si="47"/>
        <v>26.73</v>
      </c>
      <c r="N137" s="282">
        <f t="shared" si="51"/>
        <v>26.73</v>
      </c>
      <c r="O137" s="271"/>
      <c r="P137" s="261"/>
      <c r="Q137" s="16">
        <v>2810025005</v>
      </c>
      <c r="R137" t="s">
        <v>600</v>
      </c>
      <c r="S137" s="349">
        <v>97.97</v>
      </c>
    </row>
    <row r="138" spans="2:20">
      <c r="B138" s="215">
        <v>2811411080</v>
      </c>
      <c r="C138" s="203"/>
      <c r="D138" s="218"/>
      <c r="E138" s="216">
        <f t="shared" si="48"/>
        <v>50.169999999999995</v>
      </c>
      <c r="F138" s="216">
        <v>37.630000000000003</v>
      </c>
      <c r="G138" s="174" t="s">
        <v>1210</v>
      </c>
      <c r="H138" s="175">
        <v>40</v>
      </c>
      <c r="J138" s="49">
        <f t="shared" si="49"/>
        <v>2811411080</v>
      </c>
      <c r="K138" s="217">
        <f t="shared" si="50"/>
        <v>50.169999999999995</v>
      </c>
      <c r="L138" s="282">
        <v>34.909999999999997</v>
      </c>
      <c r="M138" s="282">
        <f t="shared" si="47"/>
        <v>37.630000000000003</v>
      </c>
      <c r="N138" s="282">
        <f t="shared" si="51"/>
        <v>37.627499999999998</v>
      </c>
      <c r="O138" s="271"/>
      <c r="P138" s="261"/>
      <c r="Q138" s="16">
        <v>2810025408</v>
      </c>
      <c r="R138" t="s">
        <v>593</v>
      </c>
      <c r="S138" s="349">
        <v>96.53</v>
      </c>
    </row>
    <row r="139" spans="2:20">
      <c r="B139" s="215">
        <v>2811421080</v>
      </c>
      <c r="C139" s="203"/>
      <c r="D139" s="218"/>
      <c r="E139" s="216">
        <f t="shared" si="48"/>
        <v>50.21</v>
      </c>
      <c r="F139" s="216">
        <v>37.659999999999997</v>
      </c>
      <c r="G139" s="174" t="s">
        <v>1210</v>
      </c>
      <c r="H139" s="175">
        <v>40</v>
      </c>
      <c r="J139" s="49">
        <f t="shared" si="49"/>
        <v>2811421080</v>
      </c>
      <c r="K139" s="217">
        <f t="shared" si="50"/>
        <v>50.21</v>
      </c>
      <c r="L139" s="282">
        <v>34.94</v>
      </c>
      <c r="M139" s="282">
        <f t="shared" si="47"/>
        <v>37.659999999999997</v>
      </c>
      <c r="N139" s="282">
        <f t="shared" si="51"/>
        <v>37.657499999999999</v>
      </c>
      <c r="O139" s="271"/>
      <c r="P139" s="265"/>
      <c r="Q139" s="16">
        <v>2810032710</v>
      </c>
      <c r="R139" t="s">
        <v>601</v>
      </c>
      <c r="S139" s="349">
        <v>240.1</v>
      </c>
    </row>
    <row r="140" spans="2:20">
      <c r="B140" s="215">
        <v>2811511080</v>
      </c>
      <c r="C140" s="203"/>
      <c r="D140" s="218"/>
      <c r="E140" s="216">
        <f t="shared" si="48"/>
        <v>68.160000000000011</v>
      </c>
      <c r="F140" s="216">
        <v>51.12</v>
      </c>
      <c r="G140" s="174" t="s">
        <v>1210</v>
      </c>
      <c r="H140" s="175">
        <v>50</v>
      </c>
      <c r="J140" s="49">
        <f t="shared" si="49"/>
        <v>2811511080</v>
      </c>
      <c r="K140" s="217">
        <f t="shared" si="50"/>
        <v>68.160000000000011</v>
      </c>
      <c r="L140" s="282">
        <v>47.45</v>
      </c>
      <c r="M140" s="282">
        <f t="shared" si="47"/>
        <v>51.12</v>
      </c>
      <c r="N140" s="282">
        <f t="shared" si="51"/>
        <v>51.120000000000005</v>
      </c>
      <c r="O140" s="271"/>
      <c r="P140" s="261"/>
      <c r="Q140" s="16">
        <v>2810033310</v>
      </c>
      <c r="R140" t="s">
        <v>602</v>
      </c>
      <c r="S140" s="349">
        <v>27.5</v>
      </c>
    </row>
    <row r="141" spans="2:20">
      <c r="B141" s="215">
        <v>2811521080</v>
      </c>
      <c r="C141" s="203"/>
      <c r="D141" s="218"/>
      <c r="E141" s="216">
        <f t="shared" si="48"/>
        <v>71.690000000000012</v>
      </c>
      <c r="F141" s="216">
        <v>53.77</v>
      </c>
      <c r="G141" s="174" t="s">
        <v>1210</v>
      </c>
      <c r="H141" s="175">
        <v>50</v>
      </c>
      <c r="J141" s="49">
        <f t="shared" si="49"/>
        <v>2811521080</v>
      </c>
      <c r="K141" s="217">
        <f t="shared" si="50"/>
        <v>71.690000000000012</v>
      </c>
      <c r="L141" s="282">
        <v>49.89</v>
      </c>
      <c r="M141" s="282">
        <f t="shared" si="47"/>
        <v>53.77</v>
      </c>
      <c r="N141" s="282">
        <f t="shared" si="51"/>
        <v>53.767500000000013</v>
      </c>
      <c r="O141" s="271"/>
      <c r="P141" s="261"/>
      <c r="Q141" s="16">
        <v>2810033510</v>
      </c>
      <c r="R141" t="s">
        <v>603</v>
      </c>
      <c r="S141" s="349">
        <v>60.53</v>
      </c>
    </row>
    <row r="142" spans="2:20">
      <c r="B142" s="215">
        <v>2811611080</v>
      </c>
      <c r="C142" s="203"/>
      <c r="D142" s="218"/>
      <c r="E142" s="216">
        <f t="shared" si="48"/>
        <v>85.81</v>
      </c>
      <c r="F142" s="216">
        <v>64.36</v>
      </c>
      <c r="G142" s="174" t="s">
        <v>1210</v>
      </c>
      <c r="H142" s="175">
        <v>63</v>
      </c>
      <c r="J142" s="49">
        <f t="shared" si="49"/>
        <v>2811611080</v>
      </c>
      <c r="K142" s="217">
        <f t="shared" si="50"/>
        <v>85.81</v>
      </c>
      <c r="L142" s="282">
        <v>62.48</v>
      </c>
      <c r="M142" s="282">
        <f t="shared" si="47"/>
        <v>64.36</v>
      </c>
      <c r="N142" s="282">
        <f t="shared" si="51"/>
        <v>64.357500000000002</v>
      </c>
      <c r="O142" s="271"/>
      <c r="P142" s="261"/>
      <c r="Q142" s="16">
        <v>2810033805</v>
      </c>
      <c r="R142" t="s">
        <v>556</v>
      </c>
      <c r="S142" s="343">
        <v>53.75</v>
      </c>
    </row>
    <row r="143" spans="2:20">
      <c r="B143" s="215">
        <v>2811621080</v>
      </c>
      <c r="C143" s="203"/>
      <c r="D143" s="218"/>
      <c r="E143" s="216">
        <f t="shared" si="48"/>
        <v>85.820000000000007</v>
      </c>
      <c r="F143" s="216">
        <v>64.37</v>
      </c>
      <c r="G143" s="174" t="s">
        <v>1210</v>
      </c>
      <c r="H143" s="175">
        <v>63</v>
      </c>
      <c r="J143" s="49">
        <f t="shared" si="49"/>
        <v>2811621080</v>
      </c>
      <c r="K143" s="217">
        <f t="shared" si="50"/>
        <v>85.820000000000007</v>
      </c>
      <c r="L143" s="282">
        <v>62.49</v>
      </c>
      <c r="M143" s="282">
        <f t="shared" si="47"/>
        <v>64.37</v>
      </c>
      <c r="N143" s="282">
        <f t="shared" si="51"/>
        <v>64.365000000000009</v>
      </c>
      <c r="O143" s="271"/>
      <c r="P143" s="261"/>
      <c r="Q143" s="16">
        <v>2810033810</v>
      </c>
      <c r="R143" t="s">
        <v>557</v>
      </c>
      <c r="S143" s="343">
        <v>142.99</v>
      </c>
    </row>
    <row r="144" spans="2:20">
      <c r="B144" s="215">
        <v>2811711080</v>
      </c>
      <c r="C144" s="203"/>
      <c r="D144" s="218"/>
      <c r="E144" s="216">
        <f t="shared" si="48"/>
        <v>125.12</v>
      </c>
      <c r="F144" s="216">
        <v>93.84</v>
      </c>
      <c r="G144" s="174" t="s">
        <v>1210</v>
      </c>
      <c r="H144" s="175">
        <v>80</v>
      </c>
      <c r="J144" s="49">
        <f t="shared" si="49"/>
        <v>2811711080</v>
      </c>
      <c r="K144" s="217">
        <f t="shared" si="50"/>
        <v>125.12</v>
      </c>
      <c r="L144" s="282">
        <v>87.09</v>
      </c>
      <c r="M144" s="282">
        <f t="shared" si="47"/>
        <v>93.84</v>
      </c>
      <c r="N144" s="282">
        <f t="shared" si="51"/>
        <v>93.84</v>
      </c>
      <c r="O144" s="271"/>
      <c r="P144" s="261"/>
      <c r="Q144" s="16">
        <v>2810034000</v>
      </c>
      <c r="R144" s="347" t="s">
        <v>604</v>
      </c>
      <c r="S144" s="349">
        <v>13.76</v>
      </c>
      <c r="T144">
        <v>15.14</v>
      </c>
    </row>
    <row r="145" spans="2:20">
      <c r="B145" s="215">
        <v>2811721080</v>
      </c>
      <c r="C145" s="203"/>
      <c r="D145" s="218"/>
      <c r="E145" s="216">
        <f t="shared" si="48"/>
        <v>127.96000000000001</v>
      </c>
      <c r="F145" s="216">
        <v>95.97</v>
      </c>
      <c r="G145" s="174" t="s">
        <v>1210</v>
      </c>
      <c r="H145" s="175">
        <v>80</v>
      </c>
      <c r="J145" s="49">
        <f t="shared" si="49"/>
        <v>2811721080</v>
      </c>
      <c r="K145" s="217">
        <f t="shared" si="50"/>
        <v>127.96000000000001</v>
      </c>
      <c r="L145" s="282">
        <v>89.05</v>
      </c>
      <c r="M145" s="282">
        <f t="shared" si="47"/>
        <v>95.97</v>
      </c>
      <c r="N145" s="282">
        <f t="shared" si="51"/>
        <v>95.97</v>
      </c>
      <c r="O145" s="271"/>
      <c r="P145" s="261"/>
      <c r="Q145" s="16">
        <v>2810035408</v>
      </c>
      <c r="R145" t="s">
        <v>606</v>
      </c>
      <c r="S145" s="349">
        <v>186.42999999999998</v>
      </c>
    </row>
    <row r="146" spans="2:20">
      <c r="B146" s="215">
        <v>2811201280</v>
      </c>
      <c r="C146" s="203"/>
      <c r="E146" s="216">
        <f t="shared" si="48"/>
        <v>35.049999999999997</v>
      </c>
      <c r="F146" s="216">
        <v>26.29</v>
      </c>
      <c r="G146" s="174" t="s">
        <v>1211</v>
      </c>
      <c r="H146" s="175" t="s">
        <v>1212</v>
      </c>
      <c r="J146" s="49">
        <f t="shared" si="49"/>
        <v>2811201280</v>
      </c>
      <c r="K146" s="217">
        <f t="shared" si="50"/>
        <v>35.049999999999997</v>
      </c>
      <c r="L146" s="282">
        <v>24.39</v>
      </c>
      <c r="M146" s="282">
        <f t="shared" si="47"/>
        <v>26.29</v>
      </c>
      <c r="N146" s="282">
        <f t="shared" si="51"/>
        <v>26.287499999999998</v>
      </c>
      <c r="O146" s="271"/>
      <c r="P146" s="261"/>
      <c r="Q146" s="16">
        <v>2810043805</v>
      </c>
      <c r="R146" t="s">
        <v>558</v>
      </c>
      <c r="S146" s="343">
        <v>40.15</v>
      </c>
    </row>
    <row r="147" spans="2:20">
      <c r="B147" s="215">
        <v>2811401280</v>
      </c>
      <c r="C147" s="203"/>
      <c r="E147" s="216">
        <f t="shared" si="48"/>
        <v>55.23</v>
      </c>
      <c r="F147" s="216">
        <v>41.42</v>
      </c>
      <c r="G147" s="174" t="s">
        <v>1213</v>
      </c>
      <c r="H147" s="175" t="s">
        <v>1214</v>
      </c>
      <c r="J147" s="49">
        <f t="shared" si="49"/>
        <v>2811401280</v>
      </c>
      <c r="K147" s="217">
        <f t="shared" si="50"/>
        <v>55.23</v>
      </c>
      <c r="L147" s="282">
        <v>38.44</v>
      </c>
      <c r="M147" s="282">
        <f t="shared" si="47"/>
        <v>41.42</v>
      </c>
      <c r="N147" s="282">
        <f t="shared" si="51"/>
        <v>41.422499999999999</v>
      </c>
      <c r="O147" s="271"/>
      <c r="P147" s="261"/>
      <c r="Q147" s="16">
        <v>2810043810</v>
      </c>
      <c r="R147" t="s">
        <v>559</v>
      </c>
      <c r="S147" s="343">
        <v>106.73</v>
      </c>
    </row>
    <row r="148" spans="2:20">
      <c r="B148" s="215">
        <v>2811411280</v>
      </c>
      <c r="C148" s="203"/>
      <c r="E148" s="216">
        <f t="shared" si="48"/>
        <v>58.55</v>
      </c>
      <c r="F148" s="216">
        <v>43.91</v>
      </c>
      <c r="G148" s="174" t="s">
        <v>1215</v>
      </c>
      <c r="H148" s="175" t="s">
        <v>1216</v>
      </c>
      <c r="J148" s="49">
        <f t="shared" si="49"/>
        <v>2811411280</v>
      </c>
      <c r="K148" s="217">
        <f t="shared" si="50"/>
        <v>58.55</v>
      </c>
      <c r="L148" s="282">
        <v>40.75</v>
      </c>
      <c r="M148" s="282">
        <f t="shared" si="47"/>
        <v>43.91</v>
      </c>
      <c r="N148" s="282">
        <f t="shared" si="51"/>
        <v>43.912499999999994</v>
      </c>
      <c r="O148" s="271"/>
      <c r="P148" s="261"/>
      <c r="Q148" s="16">
        <v>2810044000</v>
      </c>
      <c r="R148" s="347" t="s">
        <v>605</v>
      </c>
      <c r="S148" s="349">
        <v>15.1</v>
      </c>
      <c r="T148">
        <v>16.61</v>
      </c>
    </row>
    <row r="149" spans="2:20">
      <c r="B149" s="215">
        <v>2811501280</v>
      </c>
      <c r="C149" s="203"/>
      <c r="E149" s="216">
        <f t="shared" si="48"/>
        <v>78.850000000000009</v>
      </c>
      <c r="F149" s="216">
        <v>59.14</v>
      </c>
      <c r="G149" s="174" t="s">
        <v>1217</v>
      </c>
      <c r="H149" s="175" t="s">
        <v>1218</v>
      </c>
      <c r="J149" s="49">
        <f t="shared" si="49"/>
        <v>2811501280</v>
      </c>
      <c r="K149" s="217">
        <f t="shared" si="50"/>
        <v>78.850000000000009</v>
      </c>
      <c r="L149" s="282">
        <v>54.88</v>
      </c>
      <c r="M149" s="282">
        <f t="shared" si="47"/>
        <v>59.14</v>
      </c>
      <c r="N149" s="282">
        <f t="shared" si="51"/>
        <v>59.137500000000003</v>
      </c>
      <c r="O149" s="271"/>
      <c r="P149" s="261"/>
      <c r="Q149" s="16">
        <v>2810045408</v>
      </c>
      <c r="R149" s="347" t="s">
        <v>606</v>
      </c>
      <c r="S149" s="349">
        <v>70.600000000000009</v>
      </c>
    </row>
    <row r="150" spans="2:20">
      <c r="B150" s="215">
        <v>2811511280</v>
      </c>
      <c r="C150" s="203"/>
      <c r="E150" s="216">
        <f t="shared" si="48"/>
        <v>80.75</v>
      </c>
      <c r="F150" s="216">
        <v>60.56</v>
      </c>
      <c r="G150" s="174" t="s">
        <v>1219</v>
      </c>
      <c r="H150" s="175" t="s">
        <v>1220</v>
      </c>
      <c r="J150" s="49">
        <f t="shared" si="49"/>
        <v>2811511280</v>
      </c>
      <c r="K150" s="217">
        <f t="shared" si="50"/>
        <v>80.75</v>
      </c>
      <c r="L150" s="282">
        <v>56.2</v>
      </c>
      <c r="M150" s="282">
        <f t="shared" si="47"/>
        <v>60.56</v>
      </c>
      <c r="N150" s="282">
        <f t="shared" si="51"/>
        <v>60.5625</v>
      </c>
      <c r="O150" s="271"/>
      <c r="P150" s="261"/>
      <c r="Q150" s="16">
        <v>2810053805</v>
      </c>
      <c r="R150" s="347" t="s">
        <v>1223</v>
      </c>
      <c r="S150" s="351">
        <v>76.78</v>
      </c>
    </row>
    <row r="151" spans="2:20">
      <c r="B151" s="215">
        <v>2811601280</v>
      </c>
      <c r="C151" s="203"/>
      <c r="E151" s="216">
        <f t="shared" si="48"/>
        <v>89.910000000000011</v>
      </c>
      <c r="F151" s="216">
        <v>67.430000000000007</v>
      </c>
      <c r="G151" s="174" t="s">
        <v>1221</v>
      </c>
      <c r="H151" s="175" t="s">
        <v>1222</v>
      </c>
      <c r="J151" s="49">
        <f t="shared" si="49"/>
        <v>2811601280</v>
      </c>
      <c r="K151" s="217">
        <f t="shared" si="50"/>
        <v>89.910000000000011</v>
      </c>
      <c r="L151" s="282">
        <v>65.459999999999994</v>
      </c>
      <c r="M151" s="282">
        <f t="shared" si="47"/>
        <v>67.430000000000007</v>
      </c>
      <c r="N151" s="282">
        <f t="shared" si="51"/>
        <v>67.432500000000005</v>
      </c>
      <c r="O151" s="271"/>
      <c r="P151" s="261"/>
      <c r="Q151" s="16">
        <v>2810053810</v>
      </c>
      <c r="R151" t="s">
        <v>560</v>
      </c>
      <c r="S151" s="351">
        <v>158.99</v>
      </c>
    </row>
    <row r="152" spans="2:20">
      <c r="B152" s="215">
        <v>2811611280</v>
      </c>
      <c r="C152" s="203"/>
      <c r="E152" s="216">
        <f t="shared" si="48"/>
        <v>91.4</v>
      </c>
      <c r="F152" s="216">
        <v>68.55</v>
      </c>
      <c r="G152" s="174" t="s">
        <v>1224</v>
      </c>
      <c r="H152" s="175" t="s">
        <v>1225</v>
      </c>
      <c r="J152" s="49">
        <f t="shared" si="49"/>
        <v>2811611280</v>
      </c>
      <c r="K152" s="217">
        <f t="shared" si="50"/>
        <v>91.4</v>
      </c>
      <c r="L152" s="282">
        <v>66.55</v>
      </c>
      <c r="M152" s="282">
        <f t="shared" si="47"/>
        <v>68.55</v>
      </c>
      <c r="N152" s="282">
        <f t="shared" si="51"/>
        <v>68.550000000000011</v>
      </c>
      <c r="O152" s="271"/>
      <c r="P152" s="261"/>
      <c r="Q152" s="16">
        <v>2810054080</v>
      </c>
      <c r="R152" t="s">
        <v>607</v>
      </c>
      <c r="S152" s="349">
        <v>1729.62</v>
      </c>
    </row>
    <row r="153" spans="2:20">
      <c r="B153" s="215">
        <v>2811701280</v>
      </c>
      <c r="C153" s="203"/>
      <c r="E153" s="216">
        <f t="shared" si="48"/>
        <v>149.01999999999998</v>
      </c>
      <c r="F153" s="216">
        <v>111.77</v>
      </c>
      <c r="G153" s="174" t="s">
        <v>1226</v>
      </c>
      <c r="H153" s="175" t="s">
        <v>1227</v>
      </c>
      <c r="J153" s="49">
        <f t="shared" si="49"/>
        <v>2811701280</v>
      </c>
      <c r="K153" s="217">
        <f t="shared" si="50"/>
        <v>149.01999999999998</v>
      </c>
      <c r="L153" s="282">
        <v>106.84</v>
      </c>
      <c r="M153" s="282">
        <f t="shared" si="47"/>
        <v>111.77</v>
      </c>
      <c r="N153" s="282">
        <f t="shared" si="51"/>
        <v>111.76499999999999</v>
      </c>
      <c r="O153" s="271"/>
      <c r="P153" s="265"/>
      <c r="Q153" s="16">
        <v>2810063805</v>
      </c>
      <c r="R153" t="s">
        <v>561</v>
      </c>
      <c r="S153" s="351">
        <v>40.15</v>
      </c>
    </row>
    <row r="154" spans="2:20">
      <c r="B154" s="215">
        <v>2811711280</v>
      </c>
      <c r="C154" s="203"/>
      <c r="E154" s="216">
        <f t="shared" si="48"/>
        <v>181.98999999999998</v>
      </c>
      <c r="F154" s="216">
        <v>136.49</v>
      </c>
      <c r="G154" s="174" t="s">
        <v>1228</v>
      </c>
      <c r="H154" s="175" t="s">
        <v>1229</v>
      </c>
      <c r="J154" s="49">
        <f t="shared" si="49"/>
        <v>2811711280</v>
      </c>
      <c r="K154" s="217">
        <f t="shared" si="50"/>
        <v>181.98999999999998</v>
      </c>
      <c r="L154" s="282">
        <v>126.67</v>
      </c>
      <c r="M154" s="282">
        <f t="shared" si="47"/>
        <v>136.49</v>
      </c>
      <c r="N154" s="282">
        <f t="shared" si="51"/>
        <v>136.49249999999998</v>
      </c>
      <c r="O154" s="271"/>
      <c r="P154" s="265"/>
      <c r="Q154" s="16">
        <v>2810063810</v>
      </c>
      <c r="R154" t="s">
        <v>562</v>
      </c>
      <c r="S154" s="351">
        <v>113.16</v>
      </c>
    </row>
    <row r="155" spans="2:20">
      <c r="K155" s="217"/>
      <c r="L155" s="282"/>
      <c r="M155" s="282"/>
      <c r="N155" s="282"/>
      <c r="O155" s="271"/>
      <c r="P155" s="265"/>
      <c r="Q155" s="16">
        <v>2810064080</v>
      </c>
      <c r="R155" s="347" t="s">
        <v>608</v>
      </c>
      <c r="S155" s="349">
        <v>973.3</v>
      </c>
      <c r="T155">
        <v>1070.6300000000001</v>
      </c>
    </row>
    <row r="156" spans="2:20">
      <c r="B156" s="215"/>
      <c r="E156" s="216"/>
      <c r="F156" s="216"/>
      <c r="G156" s="225" t="s">
        <v>1230</v>
      </c>
      <c r="K156" s="217"/>
      <c r="L156" s="282"/>
      <c r="M156" s="282"/>
      <c r="N156" s="282"/>
      <c r="O156" s="271"/>
      <c r="P156" s="265"/>
      <c r="Q156" s="16">
        <v>2810064100</v>
      </c>
      <c r="R156" t="s">
        <v>609</v>
      </c>
      <c r="S156" s="349">
        <v>24.220000000000002</v>
      </c>
      <c r="T156">
        <v>28.28</v>
      </c>
    </row>
    <row r="157" spans="2:20">
      <c r="B157" s="215">
        <v>2811811080</v>
      </c>
      <c r="E157" s="216">
        <f t="shared" ref="E157:E180" si="52">VLOOKUP(B157,$Q$14:$S$1164,3,FALSE)</f>
        <v>177.25</v>
      </c>
      <c r="F157" s="216">
        <v>132.94</v>
      </c>
      <c r="G157" s="222" t="s">
        <v>1231</v>
      </c>
      <c r="J157" s="49">
        <f t="shared" ref="J157:J180" si="53">B157*$K$13</f>
        <v>2811811080</v>
      </c>
      <c r="K157" s="217">
        <f t="shared" ref="K157:K180" si="54">VLOOKUP(J157,$Q$14:$S$1164,3,FALSE)</f>
        <v>177.25</v>
      </c>
      <c r="L157" s="282">
        <v>130.11000000000001</v>
      </c>
      <c r="M157" s="282">
        <f t="shared" ref="M157:M222" si="55">ROUND(N157,2)</f>
        <v>132.94</v>
      </c>
      <c r="N157" s="282">
        <f t="shared" ref="N157:N180" si="56">K157*$N$13</f>
        <v>132.9375</v>
      </c>
      <c r="O157" s="271"/>
      <c r="P157" s="265"/>
      <c r="Q157" s="16">
        <v>2810073805</v>
      </c>
      <c r="R157" t="s">
        <v>563</v>
      </c>
      <c r="S157" s="343">
        <v>60.96</v>
      </c>
    </row>
    <row r="158" spans="2:20">
      <c r="B158" s="215">
        <v>2811811180</v>
      </c>
      <c r="E158" s="216">
        <f t="shared" si="52"/>
        <v>178.69</v>
      </c>
      <c r="F158" s="216">
        <v>134.02000000000001</v>
      </c>
      <c r="G158" s="222" t="s">
        <v>1232</v>
      </c>
      <c r="H158" s="175">
        <v>100</v>
      </c>
      <c r="J158" s="49">
        <f t="shared" si="53"/>
        <v>2811811180</v>
      </c>
      <c r="K158" s="217">
        <f t="shared" si="54"/>
        <v>178.69</v>
      </c>
      <c r="L158" s="282">
        <v>130.11000000000001</v>
      </c>
      <c r="M158" s="282">
        <f t="shared" si="55"/>
        <v>134.02000000000001</v>
      </c>
      <c r="N158" s="282">
        <f t="shared" si="56"/>
        <v>134.01749999999998</v>
      </c>
      <c r="O158" s="271"/>
      <c r="P158" s="265"/>
      <c r="Q158" s="16">
        <v>2810073810</v>
      </c>
      <c r="R158" t="s">
        <v>564</v>
      </c>
      <c r="S158" s="343">
        <v>145.13999999999999</v>
      </c>
    </row>
    <row r="159" spans="2:20">
      <c r="B159" s="215">
        <v>2811811280</v>
      </c>
      <c r="E159" s="216">
        <f t="shared" si="52"/>
        <v>177.25</v>
      </c>
      <c r="F159" s="216">
        <v>132.94</v>
      </c>
      <c r="G159" s="222" t="s">
        <v>1233</v>
      </c>
      <c r="H159" s="175">
        <v>100</v>
      </c>
      <c r="J159" s="49">
        <f t="shared" si="53"/>
        <v>2811811280</v>
      </c>
      <c r="K159" s="217">
        <f t="shared" si="54"/>
        <v>177.25</v>
      </c>
      <c r="L159" s="282">
        <v>130.11000000000001</v>
      </c>
      <c r="M159" s="282">
        <f t="shared" si="55"/>
        <v>132.94</v>
      </c>
      <c r="N159" s="282">
        <f t="shared" si="56"/>
        <v>132.9375</v>
      </c>
      <c r="O159" s="271"/>
      <c r="P159" s="265"/>
      <c r="Q159" s="16">
        <v>2810074000</v>
      </c>
      <c r="R159" t="s">
        <v>610</v>
      </c>
      <c r="S159" s="349">
        <v>105.47</v>
      </c>
    </row>
    <row r="160" spans="2:20">
      <c r="B160" s="215">
        <v>2811821080</v>
      </c>
      <c r="E160" s="216">
        <f t="shared" si="52"/>
        <v>194.98999999999998</v>
      </c>
      <c r="F160" s="216">
        <v>146.24</v>
      </c>
      <c r="G160" s="222" t="s">
        <v>1234</v>
      </c>
      <c r="H160" s="175">
        <v>100</v>
      </c>
      <c r="J160" s="49">
        <f t="shared" si="53"/>
        <v>2811821080</v>
      </c>
      <c r="K160" s="217">
        <f t="shared" si="54"/>
        <v>194.98999999999998</v>
      </c>
      <c r="L160" s="282">
        <v>143.12</v>
      </c>
      <c r="M160" s="282">
        <f t="shared" si="55"/>
        <v>146.24</v>
      </c>
      <c r="N160" s="282">
        <f t="shared" si="56"/>
        <v>146.24249999999998</v>
      </c>
      <c r="O160" s="271"/>
      <c r="P160" s="265"/>
      <c r="Q160" s="16">
        <v>2810083805</v>
      </c>
      <c r="R160" t="s">
        <v>565</v>
      </c>
      <c r="S160" s="343">
        <v>111.81</v>
      </c>
    </row>
    <row r="161" spans="2:19">
      <c r="B161" s="215">
        <v>2811821180</v>
      </c>
      <c r="E161" s="216">
        <f t="shared" si="52"/>
        <v>196.56</v>
      </c>
      <c r="F161" s="216">
        <v>147.41999999999999</v>
      </c>
      <c r="G161" s="222" t="s">
        <v>1235</v>
      </c>
      <c r="H161" s="175">
        <v>100</v>
      </c>
      <c r="J161" s="49">
        <f t="shared" si="53"/>
        <v>2811821180</v>
      </c>
      <c r="K161" s="217">
        <f t="shared" si="54"/>
        <v>196.56</v>
      </c>
      <c r="L161" s="282">
        <v>143.12</v>
      </c>
      <c r="M161" s="282">
        <f t="shared" si="55"/>
        <v>147.41999999999999</v>
      </c>
      <c r="N161" s="282">
        <f t="shared" si="56"/>
        <v>147.42000000000002</v>
      </c>
      <c r="O161" s="271"/>
      <c r="P161" s="265"/>
      <c r="Q161" s="16">
        <v>2810083810</v>
      </c>
      <c r="R161" t="s">
        <v>566</v>
      </c>
      <c r="S161" s="343">
        <v>244.9</v>
      </c>
    </row>
    <row r="162" spans="2:19">
      <c r="B162" s="215">
        <v>2811821280</v>
      </c>
      <c r="E162" s="216">
        <f t="shared" si="52"/>
        <v>194.98999999999998</v>
      </c>
      <c r="F162" s="216">
        <v>146.24</v>
      </c>
      <c r="G162" s="222" t="s">
        <v>1236</v>
      </c>
      <c r="H162" s="175">
        <v>100</v>
      </c>
      <c r="J162" s="49">
        <f t="shared" si="53"/>
        <v>2811821280</v>
      </c>
      <c r="K162" s="217">
        <f t="shared" si="54"/>
        <v>194.98999999999998</v>
      </c>
      <c r="L162" s="282">
        <v>143.12</v>
      </c>
      <c r="M162" s="282">
        <f t="shared" si="55"/>
        <v>146.24</v>
      </c>
      <c r="N162" s="282">
        <f t="shared" si="56"/>
        <v>146.24249999999998</v>
      </c>
      <c r="O162" s="271"/>
      <c r="P162" s="265"/>
      <c r="Q162" s="16">
        <v>2810084100</v>
      </c>
      <c r="R162" t="s">
        <v>611</v>
      </c>
      <c r="S162" s="343">
        <v>645.29999999999995</v>
      </c>
    </row>
    <row r="163" spans="2:19">
      <c r="B163" s="215">
        <v>2811841080</v>
      </c>
      <c r="E163" s="216">
        <f t="shared" si="52"/>
        <v>214.47</v>
      </c>
      <c r="F163" s="216">
        <v>160.85</v>
      </c>
      <c r="G163" s="222" t="s">
        <v>1237</v>
      </c>
      <c r="H163" s="175">
        <v>100</v>
      </c>
      <c r="J163" s="49">
        <f t="shared" si="53"/>
        <v>2811841080</v>
      </c>
      <c r="K163" s="217">
        <f t="shared" si="54"/>
        <v>214.47</v>
      </c>
      <c r="L163" s="282">
        <v>157.43</v>
      </c>
      <c r="M163" s="282">
        <f t="shared" si="55"/>
        <v>160.85</v>
      </c>
      <c r="N163" s="282">
        <f t="shared" si="56"/>
        <v>160.85249999999999</v>
      </c>
      <c r="O163" s="271"/>
      <c r="P163" s="265"/>
      <c r="Q163" s="16">
        <v>2810084600</v>
      </c>
      <c r="R163" t="s">
        <v>612</v>
      </c>
      <c r="S163" s="349">
        <v>775.15</v>
      </c>
    </row>
    <row r="164" spans="2:19">
      <c r="B164" s="215">
        <v>2811841180</v>
      </c>
      <c r="E164" s="216">
        <f t="shared" si="52"/>
        <v>216.20999999999998</v>
      </c>
      <c r="F164" s="216">
        <v>162.16</v>
      </c>
      <c r="G164" s="222" t="s">
        <v>1238</v>
      </c>
      <c r="H164" s="175">
        <v>100</v>
      </c>
      <c r="J164" s="49">
        <f t="shared" si="53"/>
        <v>2811841180</v>
      </c>
      <c r="K164" s="217">
        <f t="shared" si="54"/>
        <v>216.20999999999998</v>
      </c>
      <c r="L164" s="282">
        <v>157.43</v>
      </c>
      <c r="M164" s="282">
        <f t="shared" si="55"/>
        <v>162.16</v>
      </c>
      <c r="N164" s="282">
        <f t="shared" si="56"/>
        <v>162.15749999999997</v>
      </c>
      <c r="O164" s="271"/>
      <c r="P164" s="261"/>
      <c r="Q164" s="16">
        <v>2810093805</v>
      </c>
      <c r="R164" t="s">
        <v>567</v>
      </c>
      <c r="S164" s="343">
        <v>144.44999999999999</v>
      </c>
    </row>
    <row r="165" spans="2:19">
      <c r="B165" s="215">
        <v>2811841280</v>
      </c>
      <c r="E165" s="216">
        <f t="shared" si="52"/>
        <v>214.47</v>
      </c>
      <c r="F165" s="216">
        <v>160.85</v>
      </c>
      <c r="G165" s="222" t="s">
        <v>1239</v>
      </c>
      <c r="H165" s="175">
        <v>100</v>
      </c>
      <c r="J165" s="49">
        <f t="shared" si="53"/>
        <v>2811841280</v>
      </c>
      <c r="K165" s="217">
        <f t="shared" si="54"/>
        <v>214.47</v>
      </c>
      <c r="L165" s="282">
        <v>157.43</v>
      </c>
      <c r="M165" s="282">
        <f t="shared" si="55"/>
        <v>160.85</v>
      </c>
      <c r="N165" s="282">
        <f t="shared" si="56"/>
        <v>160.85249999999999</v>
      </c>
      <c r="O165" s="271"/>
      <c r="P165" s="261"/>
      <c r="Q165" s="16">
        <v>2810093810</v>
      </c>
      <c r="R165" t="s">
        <v>568</v>
      </c>
      <c r="S165" s="343">
        <v>302.02</v>
      </c>
    </row>
    <row r="166" spans="2:19">
      <c r="B166" s="215">
        <v>2811851080</v>
      </c>
      <c r="E166" s="216">
        <f t="shared" si="52"/>
        <v>235.94</v>
      </c>
      <c r="F166" s="216">
        <v>176.96</v>
      </c>
      <c r="G166" s="222" t="s">
        <v>1240</v>
      </c>
      <c r="H166" s="175">
        <v>100</v>
      </c>
      <c r="J166" s="49">
        <f t="shared" si="53"/>
        <v>2811851080</v>
      </c>
      <c r="K166" s="217">
        <f t="shared" si="54"/>
        <v>235.94</v>
      </c>
      <c r="L166" s="282">
        <v>173.18</v>
      </c>
      <c r="M166" s="282">
        <f t="shared" si="55"/>
        <v>176.96</v>
      </c>
      <c r="N166" s="282">
        <f t="shared" si="56"/>
        <v>176.95499999999998</v>
      </c>
      <c r="O166" s="271"/>
      <c r="P166" s="261"/>
      <c r="Q166" s="16">
        <v>2810103310</v>
      </c>
      <c r="R166" t="s">
        <v>613</v>
      </c>
      <c r="S166" s="349">
        <v>63.379999999999995</v>
      </c>
    </row>
    <row r="167" spans="2:19">
      <c r="B167" s="215">
        <v>2811851180</v>
      </c>
      <c r="E167" s="216">
        <f t="shared" si="52"/>
        <v>237.82999999999998</v>
      </c>
      <c r="F167" s="216">
        <v>178.37</v>
      </c>
      <c r="G167" s="222" t="s">
        <v>1241</v>
      </c>
      <c r="H167" s="175">
        <v>100</v>
      </c>
      <c r="J167" s="49">
        <f t="shared" si="53"/>
        <v>2811851180</v>
      </c>
      <c r="K167" s="217">
        <f t="shared" si="54"/>
        <v>237.82999999999998</v>
      </c>
      <c r="L167" s="282">
        <v>173.18</v>
      </c>
      <c r="M167" s="282">
        <f t="shared" si="55"/>
        <v>178.37</v>
      </c>
      <c r="N167" s="282">
        <f t="shared" si="56"/>
        <v>178.3725</v>
      </c>
      <c r="O167" s="271"/>
      <c r="P167" s="261"/>
      <c r="Q167" s="16">
        <v>2810103510</v>
      </c>
      <c r="R167" t="s">
        <v>614</v>
      </c>
      <c r="S167" s="349">
        <v>94.01</v>
      </c>
    </row>
    <row r="168" spans="2:19">
      <c r="B168" s="215">
        <v>2811851280</v>
      </c>
      <c r="E168" s="216">
        <f t="shared" si="52"/>
        <v>235.92</v>
      </c>
      <c r="F168" s="216">
        <v>176.94</v>
      </c>
      <c r="G168" s="222" t="s">
        <v>1242</v>
      </c>
      <c r="H168" s="175">
        <v>100</v>
      </c>
      <c r="J168" s="49">
        <f t="shared" si="53"/>
        <v>2811851280</v>
      </c>
      <c r="K168" s="217">
        <f t="shared" si="54"/>
        <v>235.92</v>
      </c>
      <c r="L168" s="282">
        <v>173.18</v>
      </c>
      <c r="M168" s="282">
        <f t="shared" si="55"/>
        <v>176.94</v>
      </c>
      <c r="N168" s="282">
        <f t="shared" si="56"/>
        <v>176.94</v>
      </c>
      <c r="O168" s="271"/>
      <c r="P168" s="261"/>
      <c r="Q168" s="16">
        <v>2810103610</v>
      </c>
      <c r="R168" t="s">
        <v>615</v>
      </c>
      <c r="S168" s="349">
        <v>15.98</v>
      </c>
    </row>
    <row r="169" spans="2:19">
      <c r="B169" s="215">
        <v>2811911080</v>
      </c>
      <c r="E169" s="216">
        <f t="shared" si="52"/>
        <v>280.05</v>
      </c>
      <c r="F169" s="216">
        <v>210.04</v>
      </c>
      <c r="G169" s="222" t="s">
        <v>1243</v>
      </c>
      <c r="H169" s="175">
        <v>100</v>
      </c>
      <c r="J169" s="49">
        <f t="shared" si="53"/>
        <v>2811911080</v>
      </c>
      <c r="K169" s="217">
        <f t="shared" si="54"/>
        <v>280.05</v>
      </c>
      <c r="L169" s="282">
        <v>205.58</v>
      </c>
      <c r="M169" s="282">
        <f t="shared" si="55"/>
        <v>210.04</v>
      </c>
      <c r="N169" s="282">
        <f t="shared" si="56"/>
        <v>210.03750000000002</v>
      </c>
      <c r="O169" s="271"/>
      <c r="P169" s="261"/>
      <c r="Q169" s="16">
        <v>2810103800</v>
      </c>
      <c r="R169" t="s">
        <v>616</v>
      </c>
      <c r="S169" s="349">
        <v>12.17</v>
      </c>
    </row>
    <row r="170" spans="2:19">
      <c r="B170" s="215">
        <v>2811911180</v>
      </c>
      <c r="E170" s="216">
        <f t="shared" si="52"/>
        <v>282.33</v>
      </c>
      <c r="F170" s="216">
        <v>211.75</v>
      </c>
      <c r="G170" s="222" t="s">
        <v>1244</v>
      </c>
      <c r="H170" s="175">
        <v>158</v>
      </c>
      <c r="J170" s="49">
        <f t="shared" si="53"/>
        <v>2811911180</v>
      </c>
      <c r="K170" s="217">
        <f t="shared" si="54"/>
        <v>282.33</v>
      </c>
      <c r="L170" s="282">
        <v>205.58</v>
      </c>
      <c r="M170" s="282">
        <f t="shared" si="55"/>
        <v>211.75</v>
      </c>
      <c r="N170" s="282">
        <f t="shared" si="56"/>
        <v>211.7475</v>
      </c>
      <c r="O170" s="271"/>
      <c r="P170" s="261"/>
      <c r="Q170" s="16">
        <v>2810103805</v>
      </c>
      <c r="R170" t="s">
        <v>569</v>
      </c>
      <c r="S170" s="343">
        <v>40.96</v>
      </c>
    </row>
    <row r="171" spans="2:19">
      <c r="B171" s="215">
        <v>2811911280</v>
      </c>
      <c r="E171" s="216">
        <f t="shared" si="52"/>
        <v>280.05</v>
      </c>
      <c r="F171" s="216">
        <v>210.04</v>
      </c>
      <c r="G171" s="222" t="s">
        <v>1245</v>
      </c>
      <c r="H171" s="175">
        <v>158</v>
      </c>
      <c r="J171" s="49">
        <f t="shared" si="53"/>
        <v>2811911280</v>
      </c>
      <c r="K171" s="217">
        <f t="shared" si="54"/>
        <v>280.05</v>
      </c>
      <c r="L171" s="282">
        <v>205.58</v>
      </c>
      <c r="M171" s="282">
        <f t="shared" si="55"/>
        <v>210.04</v>
      </c>
      <c r="N171" s="282">
        <f t="shared" si="56"/>
        <v>210.03750000000002</v>
      </c>
      <c r="O171" s="271"/>
      <c r="P171" s="261"/>
      <c r="Q171" s="16">
        <v>2810103810</v>
      </c>
      <c r="R171" t="s">
        <v>570</v>
      </c>
      <c r="S171" s="349">
        <v>99.27000000000001</v>
      </c>
    </row>
    <row r="172" spans="2:19">
      <c r="B172" s="215">
        <v>2811921080</v>
      </c>
      <c r="E172" s="216">
        <f t="shared" si="52"/>
        <v>308.08</v>
      </c>
      <c r="F172" s="216">
        <v>231.06</v>
      </c>
      <c r="G172" s="222" t="s">
        <v>1246</v>
      </c>
      <c r="H172" s="175">
        <v>158</v>
      </c>
      <c r="J172" s="49">
        <f t="shared" si="53"/>
        <v>2811921080</v>
      </c>
      <c r="K172" s="217">
        <f t="shared" si="54"/>
        <v>308.08</v>
      </c>
      <c r="L172" s="282">
        <v>226.14</v>
      </c>
      <c r="M172" s="282">
        <f t="shared" si="55"/>
        <v>231.06</v>
      </c>
      <c r="N172" s="282">
        <f t="shared" si="56"/>
        <v>231.06</v>
      </c>
      <c r="O172" s="271"/>
      <c r="P172" s="261"/>
      <c r="Q172" s="16">
        <v>2810103910</v>
      </c>
      <c r="R172" t="s">
        <v>617</v>
      </c>
      <c r="S172" s="349">
        <v>471.63</v>
      </c>
    </row>
    <row r="173" spans="2:19">
      <c r="B173" s="215">
        <v>2811921180</v>
      </c>
      <c r="E173" s="216">
        <f t="shared" si="52"/>
        <v>310.57</v>
      </c>
      <c r="F173" s="216">
        <v>232.93</v>
      </c>
      <c r="G173" s="222" t="s">
        <v>1247</v>
      </c>
      <c r="H173" s="175">
        <v>158</v>
      </c>
      <c r="J173" s="49">
        <f t="shared" si="53"/>
        <v>2811921180</v>
      </c>
      <c r="K173" s="217">
        <f t="shared" si="54"/>
        <v>310.57</v>
      </c>
      <c r="L173" s="282">
        <v>226.14</v>
      </c>
      <c r="M173" s="282">
        <f t="shared" si="55"/>
        <v>232.93</v>
      </c>
      <c r="N173" s="282">
        <f t="shared" si="56"/>
        <v>232.92750000000001</v>
      </c>
      <c r="O173" s="271"/>
      <c r="P173" s="261"/>
      <c r="Q173" s="16">
        <v>2810105500</v>
      </c>
      <c r="R173" t="s">
        <v>618</v>
      </c>
      <c r="S173" s="349">
        <v>145</v>
      </c>
    </row>
    <row r="174" spans="2:19">
      <c r="B174" s="215">
        <v>2811921280</v>
      </c>
      <c r="E174" s="216">
        <f t="shared" si="52"/>
        <v>308.08</v>
      </c>
      <c r="F174" s="216">
        <v>231.06</v>
      </c>
      <c r="G174" s="222" t="s">
        <v>1248</v>
      </c>
      <c r="H174" s="175">
        <v>158</v>
      </c>
      <c r="J174" s="49">
        <f t="shared" si="53"/>
        <v>2811921280</v>
      </c>
      <c r="K174" s="217">
        <f t="shared" si="54"/>
        <v>308.08</v>
      </c>
      <c r="L174" s="282">
        <v>226.14</v>
      </c>
      <c r="M174" s="282">
        <f t="shared" si="55"/>
        <v>231.06</v>
      </c>
      <c r="N174" s="282">
        <f t="shared" si="56"/>
        <v>231.06</v>
      </c>
      <c r="O174" s="271"/>
      <c r="P174" s="261"/>
      <c r="Q174" s="16">
        <v>2810105700</v>
      </c>
      <c r="R174" t="s">
        <v>618</v>
      </c>
      <c r="S174" s="349">
        <v>176.04999999999998</v>
      </c>
    </row>
    <row r="175" spans="2:19">
      <c r="B175" s="215">
        <v>2811941080</v>
      </c>
      <c r="E175" s="216">
        <f t="shared" si="52"/>
        <v>338.86</v>
      </c>
      <c r="F175" s="216">
        <v>254.15</v>
      </c>
      <c r="G175" s="222" t="s">
        <v>1249</v>
      </c>
      <c r="H175" s="175">
        <v>158</v>
      </c>
      <c r="J175" s="49">
        <f t="shared" si="53"/>
        <v>2811941080</v>
      </c>
      <c r="K175" s="217">
        <f t="shared" si="54"/>
        <v>338.86</v>
      </c>
      <c r="L175" s="282">
        <v>248.75</v>
      </c>
      <c r="M175" s="282">
        <f t="shared" si="55"/>
        <v>254.15</v>
      </c>
      <c r="N175" s="282">
        <f t="shared" si="56"/>
        <v>254.14500000000001</v>
      </c>
      <c r="O175" s="271"/>
      <c r="P175" s="261"/>
      <c r="Q175" s="16">
        <v>2810106610</v>
      </c>
      <c r="R175" t="s">
        <v>619</v>
      </c>
      <c r="S175" s="343">
        <v>6.46</v>
      </c>
    </row>
    <row r="176" spans="2:19">
      <c r="B176" s="215">
        <v>2811941180</v>
      </c>
      <c r="E176" s="216">
        <f t="shared" si="52"/>
        <v>341.61</v>
      </c>
      <c r="F176" s="216">
        <v>256.20999999999998</v>
      </c>
      <c r="G176" s="222" t="s">
        <v>1250</v>
      </c>
      <c r="H176" s="175">
        <v>158</v>
      </c>
      <c r="J176" s="49">
        <f t="shared" si="53"/>
        <v>2811941180</v>
      </c>
      <c r="K176" s="217">
        <f t="shared" si="54"/>
        <v>341.61</v>
      </c>
      <c r="L176" s="282">
        <v>248.75</v>
      </c>
      <c r="M176" s="282">
        <f t="shared" si="55"/>
        <v>256.20999999999998</v>
      </c>
      <c r="N176" s="282">
        <f t="shared" si="56"/>
        <v>256.20749999999998</v>
      </c>
      <c r="O176" s="271"/>
      <c r="P176" s="261"/>
      <c r="Q176" s="16">
        <v>2810113510</v>
      </c>
      <c r="R176" t="s">
        <v>620</v>
      </c>
      <c r="S176" s="349">
        <v>89.26</v>
      </c>
    </row>
    <row r="177" spans="2:19">
      <c r="B177" s="215">
        <v>2811941280</v>
      </c>
      <c r="E177" s="216">
        <f t="shared" si="52"/>
        <v>338.86</v>
      </c>
      <c r="F177" s="216">
        <v>254.15</v>
      </c>
      <c r="G177" s="222" t="s">
        <v>1251</v>
      </c>
      <c r="H177" s="175">
        <v>158</v>
      </c>
      <c r="J177" s="49">
        <f t="shared" si="53"/>
        <v>2811941280</v>
      </c>
      <c r="K177" s="217">
        <f t="shared" si="54"/>
        <v>338.86</v>
      </c>
      <c r="L177" s="282">
        <v>248.75</v>
      </c>
      <c r="M177" s="282">
        <f t="shared" si="55"/>
        <v>254.15</v>
      </c>
      <c r="N177" s="282">
        <f t="shared" si="56"/>
        <v>254.14500000000001</v>
      </c>
      <c r="O177" s="271"/>
      <c r="P177" s="261"/>
      <c r="Q177" s="16">
        <v>2810113805</v>
      </c>
      <c r="R177" t="s">
        <v>571</v>
      </c>
      <c r="S177" s="343">
        <v>59.84</v>
      </c>
    </row>
    <row r="178" spans="2:19">
      <c r="B178" s="215">
        <v>2811951080</v>
      </c>
      <c r="E178" s="216">
        <f t="shared" si="52"/>
        <v>372.77</v>
      </c>
      <c r="F178" s="216">
        <v>279.58</v>
      </c>
      <c r="G178" s="222" t="s">
        <v>1252</v>
      </c>
      <c r="H178" s="175">
        <v>158</v>
      </c>
      <c r="J178" s="49">
        <f t="shared" si="53"/>
        <v>2811951080</v>
      </c>
      <c r="K178" s="217">
        <f t="shared" si="54"/>
        <v>372.77</v>
      </c>
      <c r="L178" s="282">
        <v>273.62</v>
      </c>
      <c r="M178" s="282">
        <f t="shared" si="55"/>
        <v>279.58</v>
      </c>
      <c r="N178" s="282">
        <f t="shared" si="56"/>
        <v>279.57749999999999</v>
      </c>
      <c r="O178" s="271"/>
      <c r="P178" s="261"/>
      <c r="Q178" s="16">
        <v>2810115500</v>
      </c>
      <c r="R178" t="s">
        <v>618</v>
      </c>
      <c r="S178" s="349">
        <v>174.81</v>
      </c>
    </row>
    <row r="179" spans="2:19">
      <c r="B179" s="215">
        <v>2811951180</v>
      </c>
      <c r="E179" s="216">
        <f t="shared" si="52"/>
        <v>375.78</v>
      </c>
      <c r="F179" s="216">
        <v>281.83999999999997</v>
      </c>
      <c r="G179" s="222" t="s">
        <v>1253</v>
      </c>
      <c r="H179" s="175">
        <v>158</v>
      </c>
      <c r="J179" s="49">
        <f t="shared" si="53"/>
        <v>2811951180</v>
      </c>
      <c r="K179" s="217">
        <f t="shared" si="54"/>
        <v>375.78</v>
      </c>
      <c r="L179" s="282">
        <v>273.62</v>
      </c>
      <c r="M179" s="282">
        <f t="shared" si="55"/>
        <v>281.83999999999997</v>
      </c>
      <c r="N179" s="282">
        <f t="shared" si="56"/>
        <v>281.83499999999998</v>
      </c>
      <c r="O179" s="271"/>
      <c r="P179" s="265"/>
      <c r="Q179" s="16">
        <v>2810115700</v>
      </c>
      <c r="R179" t="s">
        <v>618</v>
      </c>
      <c r="S179" s="343">
        <v>220.68</v>
      </c>
    </row>
    <row r="180" spans="2:19">
      <c r="B180" s="215">
        <v>2811951280</v>
      </c>
      <c r="E180" s="216">
        <f t="shared" si="52"/>
        <v>372.77</v>
      </c>
      <c r="F180" s="216">
        <v>279.58</v>
      </c>
      <c r="G180" s="222" t="s">
        <v>1254</v>
      </c>
      <c r="H180" s="175">
        <v>158</v>
      </c>
      <c r="J180" s="49">
        <f t="shared" si="53"/>
        <v>2811951280</v>
      </c>
      <c r="K180" s="217">
        <f t="shared" si="54"/>
        <v>372.77</v>
      </c>
      <c r="L180" s="282">
        <v>273.62</v>
      </c>
      <c r="M180" s="282">
        <f t="shared" si="55"/>
        <v>279.58</v>
      </c>
      <c r="N180" s="282">
        <f t="shared" si="56"/>
        <v>279.57749999999999</v>
      </c>
      <c r="O180" s="271"/>
      <c r="P180" s="265"/>
      <c r="Q180" s="16">
        <v>2810122802</v>
      </c>
      <c r="R180" t="s">
        <v>621</v>
      </c>
      <c r="S180" s="343">
        <v>44.58</v>
      </c>
    </row>
    <row r="181" spans="2:19">
      <c r="B181" s="215"/>
      <c r="E181" s="216"/>
      <c r="F181" s="216"/>
      <c r="G181" s="222"/>
      <c r="K181" s="217"/>
      <c r="L181" s="282"/>
      <c r="M181" s="282"/>
      <c r="N181" s="282"/>
      <c r="O181" s="271"/>
      <c r="P181" s="265"/>
      <c r="Q181" s="16"/>
      <c r="R181"/>
      <c r="S181" s="343"/>
    </row>
    <row r="182" spans="2:19">
      <c r="B182" s="215">
        <v>2811101880</v>
      </c>
      <c r="C182" s="203"/>
      <c r="D182" s="218"/>
      <c r="E182" s="216">
        <f t="shared" ref="E182:E200" si="57">VLOOKUP(B182,$Q$14:$S$1164,3,FALSE)</f>
        <v>34.33</v>
      </c>
      <c r="F182" s="216">
        <v>25.75</v>
      </c>
      <c r="G182" s="174" t="s">
        <v>1255</v>
      </c>
      <c r="H182" s="175">
        <v>20</v>
      </c>
      <c r="J182" s="49">
        <f t="shared" ref="J182:J200" si="58">B182*$K$13</f>
        <v>2811101880</v>
      </c>
      <c r="K182" s="217">
        <f t="shared" ref="K182:K200" si="59">VLOOKUP(J182,$Q$14:$S$1164,3,FALSE)</f>
        <v>34.33</v>
      </c>
      <c r="L182" s="282">
        <v>23.89</v>
      </c>
      <c r="M182" s="282">
        <f t="shared" si="55"/>
        <v>25.75</v>
      </c>
      <c r="N182" s="282">
        <f t="shared" ref="N182:N200" si="60">K182*$N$13</f>
        <v>25.747499999999999</v>
      </c>
      <c r="O182" s="271"/>
      <c r="P182" s="261"/>
      <c r="Q182" s="16">
        <v>2810123510</v>
      </c>
      <c r="R182" t="s">
        <v>622</v>
      </c>
      <c r="S182" s="349">
        <v>99</v>
      </c>
    </row>
    <row r="183" spans="2:19">
      <c r="B183" s="215">
        <v>2811111880</v>
      </c>
      <c r="C183" s="203"/>
      <c r="D183" s="218"/>
      <c r="E183" s="216">
        <f t="shared" si="57"/>
        <v>40.479999999999997</v>
      </c>
      <c r="F183" s="216">
        <v>30.36</v>
      </c>
      <c r="G183" s="174" t="s">
        <v>1255</v>
      </c>
      <c r="H183" s="175">
        <v>20</v>
      </c>
      <c r="J183" s="49">
        <f t="shared" si="58"/>
        <v>2811111880</v>
      </c>
      <c r="K183" s="217">
        <f t="shared" si="59"/>
        <v>40.479999999999997</v>
      </c>
      <c r="L183" s="282">
        <v>28.17</v>
      </c>
      <c r="M183" s="282">
        <f t="shared" si="55"/>
        <v>30.36</v>
      </c>
      <c r="N183" s="282">
        <f t="shared" si="60"/>
        <v>30.36</v>
      </c>
      <c r="O183" s="271"/>
      <c r="P183" s="265"/>
      <c r="Q183" s="16">
        <v>2810133510</v>
      </c>
      <c r="R183" t="s">
        <v>623</v>
      </c>
      <c r="S183" s="349">
        <v>100</v>
      </c>
    </row>
    <row r="184" spans="2:19">
      <c r="B184" s="215">
        <v>2811211880</v>
      </c>
      <c r="C184" s="203"/>
      <c r="D184" s="218"/>
      <c r="E184" s="216">
        <f t="shared" si="57"/>
        <v>43.379999999999995</v>
      </c>
      <c r="F184" s="216">
        <v>32.54</v>
      </c>
      <c r="G184" s="174" t="s">
        <v>1255</v>
      </c>
      <c r="H184" s="175">
        <v>25</v>
      </c>
      <c r="J184" s="49">
        <f t="shared" si="58"/>
        <v>2811211880</v>
      </c>
      <c r="K184" s="217">
        <f t="shared" si="59"/>
        <v>43.379999999999995</v>
      </c>
      <c r="L184" s="282">
        <v>30.18</v>
      </c>
      <c r="M184" s="282">
        <f t="shared" si="55"/>
        <v>32.54</v>
      </c>
      <c r="N184" s="282">
        <f t="shared" si="60"/>
        <v>32.534999999999997</v>
      </c>
      <c r="O184" s="271"/>
      <c r="P184" s="261"/>
      <c r="Q184" s="345">
        <v>2810206510</v>
      </c>
      <c r="S184" s="349">
        <v>4.18</v>
      </c>
    </row>
    <row r="185" spans="2:19">
      <c r="B185" s="215">
        <v>2811221880</v>
      </c>
      <c r="C185" s="203"/>
      <c r="D185" s="218"/>
      <c r="E185" s="216">
        <f t="shared" si="57"/>
        <v>59.239999999999995</v>
      </c>
      <c r="F185" s="216">
        <v>44.43</v>
      </c>
      <c r="G185" s="174" t="s">
        <v>1255</v>
      </c>
      <c r="H185" s="175">
        <v>25</v>
      </c>
      <c r="J185" s="49">
        <f t="shared" si="58"/>
        <v>2811221880</v>
      </c>
      <c r="K185" s="217">
        <f t="shared" si="59"/>
        <v>59.239999999999995</v>
      </c>
      <c r="L185" s="282">
        <v>41.21</v>
      </c>
      <c r="M185" s="282">
        <f t="shared" si="55"/>
        <v>44.43</v>
      </c>
      <c r="N185" s="282">
        <f t="shared" si="60"/>
        <v>44.429999999999993</v>
      </c>
      <c r="O185" s="271"/>
      <c r="P185" s="261"/>
      <c r="Q185" s="16">
        <v>2810212800</v>
      </c>
      <c r="R185" t="s">
        <v>624</v>
      </c>
      <c r="S185" s="343">
        <v>18.59</v>
      </c>
    </row>
    <row r="186" spans="2:19">
      <c r="B186" s="215">
        <v>2811431880</v>
      </c>
      <c r="C186" s="203"/>
      <c r="D186" s="218"/>
      <c r="E186" s="216">
        <f t="shared" si="57"/>
        <v>69.44</v>
      </c>
      <c r="F186" s="216">
        <v>52.08</v>
      </c>
      <c r="G186" s="174" t="s">
        <v>1255</v>
      </c>
      <c r="H186" s="175">
        <v>40</v>
      </c>
      <c r="J186" s="49">
        <f t="shared" si="58"/>
        <v>2811431880</v>
      </c>
      <c r="K186" s="217">
        <f t="shared" si="59"/>
        <v>69.44</v>
      </c>
      <c r="L186" s="282">
        <v>49.79</v>
      </c>
      <c r="M186" s="282">
        <f t="shared" si="55"/>
        <v>52.08</v>
      </c>
      <c r="N186" s="282">
        <f t="shared" si="60"/>
        <v>52.08</v>
      </c>
      <c r="O186" s="271"/>
      <c r="P186" s="261"/>
      <c r="Q186" s="16">
        <v>2810215500</v>
      </c>
      <c r="R186" t="s">
        <v>618</v>
      </c>
      <c r="S186" s="349">
        <v>191.66</v>
      </c>
    </row>
    <row r="187" spans="2:19">
      <c r="B187" s="215">
        <v>2811441880</v>
      </c>
      <c r="C187" s="203"/>
      <c r="D187" s="218"/>
      <c r="E187" s="216">
        <f t="shared" si="57"/>
        <v>71.52000000000001</v>
      </c>
      <c r="F187" s="216">
        <v>53.64</v>
      </c>
      <c r="G187" s="174" t="s">
        <v>1255</v>
      </c>
      <c r="H187" s="175">
        <v>40</v>
      </c>
      <c r="J187" s="49">
        <f t="shared" si="58"/>
        <v>2811441880</v>
      </c>
      <c r="K187" s="217">
        <f t="shared" si="59"/>
        <v>71.52000000000001</v>
      </c>
      <c r="L187" s="282">
        <v>49.79</v>
      </c>
      <c r="M187" s="282">
        <f t="shared" si="55"/>
        <v>53.64</v>
      </c>
      <c r="N187" s="282">
        <f t="shared" si="60"/>
        <v>53.640000000000008</v>
      </c>
      <c r="O187" s="271"/>
      <c r="P187" s="261"/>
      <c r="Q187" s="16">
        <v>2810215700</v>
      </c>
      <c r="R187" t="s">
        <v>618</v>
      </c>
      <c r="S187" s="349">
        <v>291.3</v>
      </c>
    </row>
    <row r="188" spans="2:19">
      <c r="B188" s="215">
        <v>2811541880</v>
      </c>
      <c r="C188" s="203"/>
      <c r="D188" s="218"/>
      <c r="E188" s="216">
        <f t="shared" si="57"/>
        <v>89.09</v>
      </c>
      <c r="F188" s="216">
        <v>66.819999999999993</v>
      </c>
      <c r="G188" s="174" t="s">
        <v>1255</v>
      </c>
      <c r="H188" s="175">
        <v>50</v>
      </c>
      <c r="J188" s="49">
        <f t="shared" si="58"/>
        <v>2811541880</v>
      </c>
      <c r="K188" s="217">
        <f t="shared" si="59"/>
        <v>89.09</v>
      </c>
      <c r="L188" s="282">
        <v>62</v>
      </c>
      <c r="M188" s="282">
        <f t="shared" si="55"/>
        <v>66.819999999999993</v>
      </c>
      <c r="N188" s="282">
        <f t="shared" si="60"/>
        <v>66.817499999999995</v>
      </c>
      <c r="O188" s="271"/>
      <c r="P188" s="265"/>
      <c r="Q188" s="16">
        <v>2810401200</v>
      </c>
      <c r="R188" t="s">
        <v>625</v>
      </c>
      <c r="S188" s="343">
        <v>56.06</v>
      </c>
    </row>
    <row r="189" spans="2:19">
      <c r="B189" s="215">
        <v>2811551880</v>
      </c>
      <c r="C189" s="203"/>
      <c r="D189" s="218"/>
      <c r="E189" s="216">
        <f t="shared" si="57"/>
        <v>91.47</v>
      </c>
      <c r="F189" s="216">
        <v>68.599999999999994</v>
      </c>
      <c r="G189" s="174" t="s">
        <v>1255</v>
      </c>
      <c r="H189" s="175">
        <v>50</v>
      </c>
      <c r="J189" s="49">
        <f t="shared" si="58"/>
        <v>2811551880</v>
      </c>
      <c r="K189" s="217">
        <f t="shared" si="59"/>
        <v>91.47</v>
      </c>
      <c r="L189" s="282">
        <v>63.65</v>
      </c>
      <c r="M189" s="282">
        <f t="shared" si="55"/>
        <v>68.599999999999994</v>
      </c>
      <c r="N189" s="282">
        <f t="shared" si="60"/>
        <v>68.602499999999992</v>
      </c>
      <c r="O189" s="271"/>
      <c r="P189" s="265"/>
      <c r="Q189" s="16">
        <v>2810402800</v>
      </c>
      <c r="R189" t="s">
        <v>626</v>
      </c>
      <c r="S189" s="343">
        <v>35.03</v>
      </c>
    </row>
    <row r="190" spans="2:19">
      <c r="B190" s="215">
        <v>2811651890</v>
      </c>
      <c r="E190" s="216">
        <f t="shared" si="57"/>
        <v>179.39</v>
      </c>
      <c r="F190" s="216">
        <v>134.54</v>
      </c>
      <c r="G190" s="222" t="s">
        <v>1256</v>
      </c>
      <c r="H190" s="175">
        <v>63</v>
      </c>
      <c r="J190" s="49">
        <f t="shared" si="58"/>
        <v>2811651890</v>
      </c>
      <c r="K190" s="217">
        <f t="shared" si="59"/>
        <v>179.39</v>
      </c>
      <c r="L190" s="282">
        <v>134.54</v>
      </c>
      <c r="M190" s="282">
        <f t="shared" si="55"/>
        <v>134.54</v>
      </c>
      <c r="N190" s="282">
        <f t="shared" si="60"/>
        <v>134.54249999999999</v>
      </c>
      <c r="O190" s="271"/>
      <c r="P190" s="261"/>
      <c r="Q190" s="16">
        <v>2810405700</v>
      </c>
      <c r="R190" t="s">
        <v>618</v>
      </c>
      <c r="S190" s="349">
        <v>54.78</v>
      </c>
    </row>
    <row r="191" spans="2:19">
      <c r="B191" s="215">
        <v>2811661890</v>
      </c>
      <c r="E191" s="216">
        <f t="shared" si="57"/>
        <v>157.77000000000001</v>
      </c>
      <c r="F191" s="216">
        <v>118.33</v>
      </c>
      <c r="G191" s="222" t="s">
        <v>1257</v>
      </c>
      <c r="H191" s="175">
        <v>63</v>
      </c>
      <c r="J191" s="49">
        <f t="shared" si="58"/>
        <v>2811661890</v>
      </c>
      <c r="K191" s="217">
        <f t="shared" si="59"/>
        <v>157.77000000000001</v>
      </c>
      <c r="L191" s="282">
        <v>118.32</v>
      </c>
      <c r="M191" s="282">
        <f t="shared" si="55"/>
        <v>118.33</v>
      </c>
      <c r="N191" s="282">
        <f t="shared" si="60"/>
        <v>118.32750000000001</v>
      </c>
      <c r="O191" s="271"/>
      <c r="P191" s="265"/>
      <c r="Q191" s="16">
        <v>2810411100</v>
      </c>
      <c r="R191" t="s">
        <v>627</v>
      </c>
      <c r="S191" s="343">
        <v>537.82000000000005</v>
      </c>
    </row>
    <row r="192" spans="2:19">
      <c r="B192" s="215">
        <v>2811761890</v>
      </c>
      <c r="E192" s="216">
        <f t="shared" si="57"/>
        <v>231.92999999999998</v>
      </c>
      <c r="F192" s="216">
        <v>173.95</v>
      </c>
      <c r="G192" s="222" t="s">
        <v>1258</v>
      </c>
      <c r="H192" s="175">
        <v>80</v>
      </c>
      <c r="J192" s="49">
        <f t="shared" si="58"/>
        <v>2811761890</v>
      </c>
      <c r="K192" s="217">
        <f t="shared" si="59"/>
        <v>231.92999999999998</v>
      </c>
      <c r="L192" s="282">
        <v>170.25</v>
      </c>
      <c r="M192" s="282">
        <f t="shared" si="55"/>
        <v>173.95</v>
      </c>
      <c r="N192" s="282">
        <f t="shared" si="60"/>
        <v>173.94749999999999</v>
      </c>
      <c r="O192" s="271"/>
      <c r="P192" s="265"/>
      <c r="Q192" s="16">
        <v>2810502800</v>
      </c>
      <c r="R192" t="s">
        <v>628</v>
      </c>
      <c r="S192" s="343">
        <v>19.239999999999998</v>
      </c>
    </row>
    <row r="193" spans="2:19">
      <c r="B193" s="215">
        <v>2811771890</v>
      </c>
      <c r="E193" s="216">
        <f t="shared" si="57"/>
        <v>226.92999999999998</v>
      </c>
      <c r="F193" s="216">
        <v>170.2</v>
      </c>
      <c r="G193" s="222" t="s">
        <v>1259</v>
      </c>
      <c r="H193" s="175">
        <v>80</v>
      </c>
      <c r="J193" s="49">
        <f t="shared" si="58"/>
        <v>2811771890</v>
      </c>
      <c r="K193" s="217">
        <f t="shared" si="59"/>
        <v>226.92999999999998</v>
      </c>
      <c r="L193" s="282">
        <v>170.25</v>
      </c>
      <c r="M193" s="282">
        <f t="shared" si="55"/>
        <v>170.2</v>
      </c>
      <c r="N193" s="282">
        <f t="shared" si="60"/>
        <v>170.19749999999999</v>
      </c>
      <c r="O193" s="271"/>
      <c r="P193" s="265"/>
      <c r="Q193" s="16">
        <v>2810505700</v>
      </c>
      <c r="R193" t="s">
        <v>618</v>
      </c>
      <c r="S193" s="349">
        <v>574.4</v>
      </c>
    </row>
    <row r="194" spans="2:19">
      <c r="B194" s="215">
        <v>2811002080</v>
      </c>
      <c r="C194" s="203"/>
      <c r="D194" s="218"/>
      <c r="E194" s="216">
        <f t="shared" si="57"/>
        <v>51.72</v>
      </c>
      <c r="F194" s="216">
        <v>38.79</v>
      </c>
      <c r="G194" s="174" t="s">
        <v>1260</v>
      </c>
      <c r="H194" s="175">
        <v>20</v>
      </c>
      <c r="J194" s="49">
        <f t="shared" si="58"/>
        <v>2811002080</v>
      </c>
      <c r="K194" s="217">
        <f t="shared" si="59"/>
        <v>51.72</v>
      </c>
      <c r="L194" s="282">
        <v>37.659999999999997</v>
      </c>
      <c r="M194" s="282">
        <f t="shared" si="55"/>
        <v>38.79</v>
      </c>
      <c r="N194" s="282">
        <f t="shared" si="60"/>
        <v>38.79</v>
      </c>
      <c r="O194" s="271"/>
      <c r="P194" s="265"/>
      <c r="Q194" s="16">
        <v>2810702800</v>
      </c>
      <c r="R194" t="s">
        <v>630</v>
      </c>
      <c r="S194" s="343">
        <v>56.92</v>
      </c>
    </row>
    <row r="195" spans="2:19">
      <c r="B195" s="215">
        <v>2811102080</v>
      </c>
      <c r="C195" s="203"/>
      <c r="D195" s="218"/>
      <c r="E195" s="216">
        <f t="shared" si="57"/>
        <v>51.36</v>
      </c>
      <c r="F195" s="216">
        <v>38.520000000000003</v>
      </c>
      <c r="G195" s="174" t="s">
        <v>1260</v>
      </c>
      <c r="H195" s="175">
        <v>20</v>
      </c>
      <c r="J195" s="49">
        <f t="shared" si="58"/>
        <v>2811102080</v>
      </c>
      <c r="K195" s="217">
        <f t="shared" si="59"/>
        <v>51.36</v>
      </c>
      <c r="L195" s="282">
        <v>37.4</v>
      </c>
      <c r="M195" s="282">
        <f t="shared" si="55"/>
        <v>38.520000000000003</v>
      </c>
      <c r="N195" s="282">
        <f t="shared" si="60"/>
        <v>38.519999999999996</v>
      </c>
      <c r="O195" s="271"/>
      <c r="P195" s="265"/>
      <c r="Q195" s="16">
        <v>2810705500</v>
      </c>
      <c r="R195" t="s">
        <v>631</v>
      </c>
      <c r="S195" s="349">
        <v>2181.23</v>
      </c>
    </row>
    <row r="196" spans="2:19">
      <c r="B196" s="215">
        <v>2811202080</v>
      </c>
      <c r="C196" s="203"/>
      <c r="D196" s="218"/>
      <c r="E196" s="216">
        <f t="shared" si="57"/>
        <v>59.66</v>
      </c>
      <c r="F196" s="216">
        <v>44.75</v>
      </c>
      <c r="G196" s="174" t="s">
        <v>1260</v>
      </c>
      <c r="H196" s="175">
        <v>25</v>
      </c>
      <c r="J196" s="49">
        <f t="shared" si="58"/>
        <v>2811202080</v>
      </c>
      <c r="K196" s="217">
        <f t="shared" si="59"/>
        <v>59.66</v>
      </c>
      <c r="L196" s="282">
        <v>43.44</v>
      </c>
      <c r="M196" s="282">
        <f t="shared" si="55"/>
        <v>44.75</v>
      </c>
      <c r="N196" s="282">
        <f t="shared" si="60"/>
        <v>44.744999999999997</v>
      </c>
      <c r="O196" s="271"/>
      <c r="P196" s="265"/>
      <c r="Q196" s="16">
        <v>2810706005</v>
      </c>
      <c r="R196" t="s">
        <v>632</v>
      </c>
      <c r="S196" s="343">
        <v>116.13</v>
      </c>
    </row>
    <row r="197" spans="2:19">
      <c r="B197" s="215">
        <v>2811212080</v>
      </c>
      <c r="C197" s="203"/>
      <c r="D197" s="218"/>
      <c r="E197" s="216">
        <f t="shared" si="57"/>
        <v>55.669999999999995</v>
      </c>
      <c r="F197" s="216">
        <v>41.75</v>
      </c>
      <c r="G197" s="174" t="s">
        <v>1260</v>
      </c>
      <c r="H197" s="175">
        <v>25</v>
      </c>
      <c r="J197" s="49">
        <f t="shared" si="58"/>
        <v>2811212080</v>
      </c>
      <c r="K197" s="217">
        <f t="shared" si="59"/>
        <v>55.669999999999995</v>
      </c>
      <c r="L197" s="282">
        <v>40.53</v>
      </c>
      <c r="M197" s="282">
        <f t="shared" si="55"/>
        <v>41.75</v>
      </c>
      <c r="N197" s="282">
        <f t="shared" si="60"/>
        <v>41.752499999999998</v>
      </c>
      <c r="O197" s="271"/>
      <c r="P197" s="265"/>
      <c r="Q197" s="16">
        <v>2810706510</v>
      </c>
      <c r="R197" t="s">
        <v>633</v>
      </c>
      <c r="S197" s="349">
        <v>16.28</v>
      </c>
    </row>
    <row r="198" spans="2:19">
      <c r="B198" s="215">
        <v>2811422080</v>
      </c>
      <c r="C198" s="203"/>
      <c r="E198" s="216">
        <f t="shared" si="57"/>
        <v>88.92</v>
      </c>
      <c r="F198" s="216">
        <v>66.69</v>
      </c>
      <c r="G198" s="174" t="s">
        <v>1261</v>
      </c>
      <c r="H198" s="175">
        <v>40</v>
      </c>
      <c r="J198" s="49">
        <f t="shared" si="58"/>
        <v>2811422080</v>
      </c>
      <c r="K198" s="217">
        <f t="shared" si="59"/>
        <v>88.92</v>
      </c>
      <c r="L198" s="282">
        <v>64.739999999999995</v>
      </c>
      <c r="M198" s="282">
        <f t="shared" si="55"/>
        <v>66.69</v>
      </c>
      <c r="N198" s="282">
        <f t="shared" si="60"/>
        <v>66.69</v>
      </c>
      <c r="O198" s="271"/>
      <c r="P198" s="265"/>
      <c r="Q198" s="16">
        <v>2810800300</v>
      </c>
      <c r="R198" t="s">
        <v>634</v>
      </c>
      <c r="S198" s="349">
        <v>174.67999999999998</v>
      </c>
    </row>
    <row r="199" spans="2:19">
      <c r="B199" s="215">
        <v>2811542080</v>
      </c>
      <c r="C199" s="203"/>
      <c r="E199" s="216">
        <f t="shared" si="57"/>
        <v>115.81</v>
      </c>
      <c r="F199" s="216">
        <v>86.86</v>
      </c>
      <c r="G199" s="174" t="s">
        <v>1262</v>
      </c>
      <c r="H199" s="175">
        <v>50</v>
      </c>
      <c r="J199" s="49">
        <f t="shared" si="58"/>
        <v>2811542080</v>
      </c>
      <c r="K199" s="217">
        <f t="shared" si="59"/>
        <v>115.81</v>
      </c>
      <c r="L199" s="282">
        <v>84.32</v>
      </c>
      <c r="M199" s="282">
        <f t="shared" si="55"/>
        <v>86.86</v>
      </c>
      <c r="N199" s="282">
        <f t="shared" si="60"/>
        <v>86.857500000000002</v>
      </c>
      <c r="O199" s="271"/>
      <c r="P199" s="265"/>
      <c r="Q199" s="16">
        <v>2810800400</v>
      </c>
      <c r="R199" t="s">
        <v>635</v>
      </c>
      <c r="S199" s="349">
        <v>190.7</v>
      </c>
    </row>
    <row r="200" spans="2:19">
      <c r="B200" s="215">
        <v>2811552080</v>
      </c>
      <c r="C200" s="203"/>
      <c r="E200" s="216">
        <f t="shared" si="57"/>
        <v>58.769999999999996</v>
      </c>
      <c r="F200" s="216">
        <v>44.08</v>
      </c>
      <c r="G200" s="174" t="s">
        <v>1263</v>
      </c>
      <c r="H200" s="175">
        <v>50</v>
      </c>
      <c r="J200" s="49">
        <f t="shared" si="58"/>
        <v>2811552080</v>
      </c>
      <c r="K200" s="217">
        <f t="shared" si="59"/>
        <v>58.769999999999996</v>
      </c>
      <c r="L200" s="282">
        <v>42.79</v>
      </c>
      <c r="M200" s="282">
        <f t="shared" si="55"/>
        <v>44.08</v>
      </c>
      <c r="N200" s="282">
        <f t="shared" si="60"/>
        <v>44.077500000000001</v>
      </c>
      <c r="O200" s="271"/>
      <c r="P200" s="265"/>
      <c r="Q200" s="16">
        <v>2810800500</v>
      </c>
      <c r="R200" t="s">
        <v>636</v>
      </c>
      <c r="S200" s="349">
        <v>191.10999999999999</v>
      </c>
    </row>
    <row r="201" spans="2:19">
      <c r="B201" s="215"/>
      <c r="C201" s="203"/>
      <c r="E201" s="216"/>
      <c r="F201" s="216"/>
      <c r="K201" s="217"/>
      <c r="L201" s="282"/>
      <c r="M201" s="282"/>
      <c r="N201" s="282"/>
      <c r="O201" s="271"/>
      <c r="P201" s="265"/>
      <c r="Q201" s="16">
        <v>2810802800</v>
      </c>
      <c r="R201" t="s">
        <v>637</v>
      </c>
      <c r="S201" s="343">
        <v>54.449999999999996</v>
      </c>
    </row>
    <row r="202" spans="2:19">
      <c r="B202" s="215">
        <v>2811652090</v>
      </c>
      <c r="E202" s="216">
        <f>VLOOKUP(B202,$Q$14:$S$1164,3,FALSE)</f>
        <v>206.73</v>
      </c>
      <c r="F202" s="216">
        <v>155.05000000000001</v>
      </c>
      <c r="G202" s="222" t="s">
        <v>1264</v>
      </c>
      <c r="H202" s="175">
        <v>63</v>
      </c>
      <c r="J202" s="49">
        <f>B202*$K$13</f>
        <v>2811652090</v>
      </c>
      <c r="K202" s="217">
        <f>VLOOKUP(J202,$Q$14:$S$1164,3,FALSE)</f>
        <v>206.73</v>
      </c>
      <c r="L202" s="282">
        <v>155.04</v>
      </c>
      <c r="M202" s="282">
        <f t="shared" si="55"/>
        <v>155.05000000000001</v>
      </c>
      <c r="N202" s="282">
        <f>K202*$N$13</f>
        <v>155.04749999999999</v>
      </c>
      <c r="O202" s="271"/>
      <c r="P202" s="265"/>
      <c r="Q202" s="16">
        <v>2810806010</v>
      </c>
      <c r="R202" t="s">
        <v>1267</v>
      </c>
      <c r="S202" s="343">
        <v>45.82</v>
      </c>
    </row>
    <row r="203" spans="2:19">
      <c r="B203" s="215">
        <v>2811762090</v>
      </c>
      <c r="E203" s="216">
        <f>VLOOKUP(B203,$Q$14:$S$1164,3,FALSE)</f>
        <v>262.51</v>
      </c>
      <c r="F203" s="216">
        <v>196.88</v>
      </c>
      <c r="G203" s="222" t="s">
        <v>1265</v>
      </c>
      <c r="H203" s="175">
        <v>80</v>
      </c>
      <c r="J203" s="49">
        <f>B203*$K$13</f>
        <v>2811762090</v>
      </c>
      <c r="K203" s="217">
        <f>VLOOKUP(J203,$Q$14:$S$1164,3,FALSE)</f>
        <v>262.51</v>
      </c>
      <c r="L203" s="282">
        <v>196.88</v>
      </c>
      <c r="M203" s="282">
        <f t="shared" si="55"/>
        <v>196.88</v>
      </c>
      <c r="N203" s="282">
        <f>K203*$N$13</f>
        <v>196.88249999999999</v>
      </c>
      <c r="O203" s="271"/>
      <c r="P203" s="265"/>
      <c r="Q203" s="16">
        <v>2810806400</v>
      </c>
      <c r="R203" t="s">
        <v>638</v>
      </c>
      <c r="S203" s="343">
        <v>35.589999999999996</v>
      </c>
    </row>
    <row r="204" spans="2:19">
      <c r="B204" s="215">
        <v>2811772090</v>
      </c>
      <c r="E204" s="216">
        <f>VLOOKUP(B204,$Q$14:$S$1164,3,FALSE)</f>
        <v>262.51</v>
      </c>
      <c r="F204" s="216">
        <v>196.88</v>
      </c>
      <c r="G204" s="222" t="s">
        <v>1266</v>
      </c>
      <c r="H204" s="175">
        <v>80</v>
      </c>
      <c r="J204" s="49">
        <f>B204*$K$13</f>
        <v>2811772090</v>
      </c>
      <c r="K204" s="217">
        <f>VLOOKUP(J204,$Q$14:$S$1164,3,FALSE)</f>
        <v>262.51</v>
      </c>
      <c r="L204" s="282">
        <v>196.88</v>
      </c>
      <c r="M204" s="282">
        <f t="shared" si="55"/>
        <v>196.88</v>
      </c>
      <c r="N204" s="282">
        <f>K204*$N$13</f>
        <v>196.88249999999999</v>
      </c>
      <c r="O204" s="271"/>
      <c r="P204" s="265"/>
      <c r="Q204" s="16">
        <v>2810806705</v>
      </c>
      <c r="R204" t="s">
        <v>1828</v>
      </c>
      <c r="S204" s="343">
        <v>22.21</v>
      </c>
    </row>
    <row r="205" spans="2:19">
      <c r="B205" s="215"/>
      <c r="E205" s="216"/>
      <c r="F205" s="216"/>
      <c r="G205" s="222"/>
      <c r="K205" s="217"/>
      <c r="L205" s="282"/>
      <c r="M205" s="282"/>
      <c r="N205" s="282"/>
      <c r="O205" s="271"/>
      <c r="P205" s="265"/>
      <c r="Q205" s="16">
        <v>2810812210</v>
      </c>
      <c r="R205" t="s">
        <v>639</v>
      </c>
      <c r="S205" s="343">
        <v>66.710000000000008</v>
      </c>
    </row>
    <row r="206" spans="2:19">
      <c r="B206" s="215">
        <v>2811111480</v>
      </c>
      <c r="C206" s="203"/>
      <c r="D206" s="218"/>
      <c r="E206" s="216">
        <f t="shared" ref="E206:E211" si="61">VLOOKUP(B206,$Q$14:$S$1164,3,FALSE)</f>
        <v>87.31</v>
      </c>
      <c r="F206" s="216">
        <v>65.48</v>
      </c>
      <c r="G206" s="174" t="s">
        <v>1268</v>
      </c>
      <c r="H206" s="175">
        <v>20</v>
      </c>
      <c r="J206" s="49">
        <f t="shared" ref="J206:J211" si="62">B206*$K$13</f>
        <v>2811111480</v>
      </c>
      <c r="K206" s="217">
        <f t="shared" ref="K206:K211" si="63">VLOOKUP(J206,$Q$14:$S$1164,3,FALSE)</f>
        <v>87.31</v>
      </c>
      <c r="L206" s="282">
        <v>60.76</v>
      </c>
      <c r="M206" s="282">
        <f t="shared" si="55"/>
        <v>65.48</v>
      </c>
      <c r="N206" s="282">
        <f t="shared" ref="N206:N211" si="64">K206*$N$13</f>
        <v>65.482500000000002</v>
      </c>
      <c r="O206" s="271"/>
      <c r="P206" s="265"/>
      <c r="Q206" s="16">
        <v>2810815400</v>
      </c>
      <c r="R206" t="s">
        <v>640</v>
      </c>
      <c r="S206" s="343">
        <v>236.92999999999998</v>
      </c>
    </row>
    <row r="207" spans="2:19">
      <c r="B207" s="215">
        <v>2811221480</v>
      </c>
      <c r="C207" s="203"/>
      <c r="D207" s="218"/>
      <c r="E207" s="216">
        <f t="shared" si="61"/>
        <v>95.03</v>
      </c>
      <c r="F207" s="216">
        <v>71.27</v>
      </c>
      <c r="G207" s="174" t="s">
        <v>1268</v>
      </c>
      <c r="H207" s="175">
        <v>25</v>
      </c>
      <c r="J207" s="49">
        <f t="shared" si="62"/>
        <v>2811221480</v>
      </c>
      <c r="K207" s="217">
        <f t="shared" si="63"/>
        <v>95.03</v>
      </c>
      <c r="L207" s="282">
        <v>66.14</v>
      </c>
      <c r="M207" s="282">
        <f t="shared" si="55"/>
        <v>71.27</v>
      </c>
      <c r="N207" s="282">
        <f t="shared" si="64"/>
        <v>71.272500000000008</v>
      </c>
      <c r="O207" s="271"/>
      <c r="P207" s="265"/>
      <c r="Q207" s="345">
        <v>2810816505</v>
      </c>
      <c r="R207"/>
      <c r="S207" s="343">
        <v>190.82</v>
      </c>
    </row>
    <row r="208" spans="2:19">
      <c r="B208" s="215">
        <v>2811441480</v>
      </c>
      <c r="C208" s="203"/>
      <c r="D208" s="218"/>
      <c r="E208" s="216">
        <f t="shared" si="61"/>
        <v>100.97</v>
      </c>
      <c r="F208" s="216">
        <v>75.73</v>
      </c>
      <c r="G208" s="174" t="s">
        <v>1268</v>
      </c>
      <c r="H208" s="175">
        <v>40</v>
      </c>
      <c r="J208" s="49">
        <f t="shared" si="62"/>
        <v>2811441480</v>
      </c>
      <c r="K208" s="217">
        <f t="shared" si="63"/>
        <v>100.97</v>
      </c>
      <c r="L208" s="282">
        <v>70.28</v>
      </c>
      <c r="M208" s="282">
        <f t="shared" si="55"/>
        <v>75.73</v>
      </c>
      <c r="N208" s="282">
        <f t="shared" si="64"/>
        <v>75.727499999999992</v>
      </c>
      <c r="O208" s="271"/>
      <c r="P208" s="265"/>
      <c r="Q208" s="16">
        <v>2810816705</v>
      </c>
      <c r="R208" t="s">
        <v>1829</v>
      </c>
      <c r="S208" s="343">
        <v>19.940000000000001</v>
      </c>
    </row>
    <row r="209" spans="2:19">
      <c r="B209" s="215">
        <v>2811551480</v>
      </c>
      <c r="C209" s="203"/>
      <c r="D209" s="218"/>
      <c r="E209" s="216">
        <f t="shared" si="61"/>
        <v>106.17</v>
      </c>
      <c r="F209" s="216">
        <v>79.63</v>
      </c>
      <c r="G209" s="174" t="s">
        <v>1268</v>
      </c>
      <c r="H209" s="175">
        <v>50</v>
      </c>
      <c r="J209" s="49">
        <f t="shared" si="62"/>
        <v>2811551480</v>
      </c>
      <c r="K209" s="217">
        <f t="shared" si="63"/>
        <v>106.17</v>
      </c>
      <c r="L209" s="282">
        <v>73.89</v>
      </c>
      <c r="M209" s="282">
        <f t="shared" si="55"/>
        <v>79.63</v>
      </c>
      <c r="N209" s="282">
        <f t="shared" si="64"/>
        <v>79.627499999999998</v>
      </c>
      <c r="O209" s="271"/>
      <c r="P209" s="265"/>
      <c r="Q209" s="16">
        <v>2810820800</v>
      </c>
      <c r="R209" t="s">
        <v>641</v>
      </c>
      <c r="S209" s="343">
        <v>347.25</v>
      </c>
    </row>
    <row r="210" spans="2:19">
      <c r="B210" s="215">
        <v>2811661490</v>
      </c>
      <c r="E210" s="216">
        <f t="shared" si="61"/>
        <v>139.05000000000001</v>
      </c>
      <c r="F210" s="216">
        <v>104.29</v>
      </c>
      <c r="G210" s="222" t="s">
        <v>1269</v>
      </c>
      <c r="H210" s="175">
        <v>63</v>
      </c>
      <c r="J210" s="49">
        <f t="shared" si="62"/>
        <v>2811661490</v>
      </c>
      <c r="K210" s="217">
        <f t="shared" si="63"/>
        <v>139.05000000000001</v>
      </c>
      <c r="L210" s="282">
        <v>104.28</v>
      </c>
      <c r="M210" s="282">
        <f t="shared" si="55"/>
        <v>104.29</v>
      </c>
      <c r="N210" s="282">
        <f t="shared" si="64"/>
        <v>104.28750000000001</v>
      </c>
      <c r="O210" s="271"/>
      <c r="P210" s="265"/>
      <c r="Q210" s="16">
        <v>2810820900</v>
      </c>
      <c r="R210" t="s">
        <v>642</v>
      </c>
      <c r="S210" s="343">
        <v>160.48999999999998</v>
      </c>
    </row>
    <row r="211" spans="2:19">
      <c r="B211" s="215">
        <v>2811771490</v>
      </c>
      <c r="E211" s="216">
        <f t="shared" si="61"/>
        <v>176.53</v>
      </c>
      <c r="F211" s="216">
        <v>132.4</v>
      </c>
      <c r="G211" s="222" t="s">
        <v>1270</v>
      </c>
      <c r="H211" s="175">
        <v>80</v>
      </c>
      <c r="J211" s="49">
        <f t="shared" si="62"/>
        <v>2811771490</v>
      </c>
      <c r="K211" s="217">
        <f t="shared" si="63"/>
        <v>176.53</v>
      </c>
      <c r="L211" s="282">
        <v>132.41999999999999</v>
      </c>
      <c r="M211" s="282">
        <f t="shared" si="55"/>
        <v>132.4</v>
      </c>
      <c r="N211" s="282">
        <f t="shared" si="64"/>
        <v>132.39750000000001</v>
      </c>
      <c r="O211" s="271"/>
      <c r="P211" s="261"/>
      <c r="Q211" s="16">
        <v>2810825400</v>
      </c>
      <c r="R211" t="s">
        <v>640</v>
      </c>
      <c r="S211" s="349">
        <v>235.44</v>
      </c>
    </row>
    <row r="212" spans="2:19">
      <c r="E212" s="216"/>
      <c r="F212" s="216"/>
      <c r="G212" s="49"/>
      <c r="H212" s="49"/>
      <c r="K212" s="217"/>
      <c r="L212" s="282"/>
      <c r="M212" s="282"/>
      <c r="N212" s="282"/>
      <c r="O212" s="271"/>
      <c r="P212" s="261"/>
      <c r="Q212" s="16">
        <v>2810826605</v>
      </c>
      <c r="R212" t="s">
        <v>643</v>
      </c>
      <c r="S212" s="343">
        <v>467.07</v>
      </c>
    </row>
    <row r="213" spans="2:19">
      <c r="B213" s="215">
        <v>2811100680</v>
      </c>
      <c r="C213" s="203"/>
      <c r="D213" s="218"/>
      <c r="E213" s="216">
        <f t="shared" ref="E213:E219" si="65">VLOOKUP(B213,$Q$14:$S$1164,3,FALSE)</f>
        <v>28.53</v>
      </c>
      <c r="F213" s="216">
        <v>21.4</v>
      </c>
      <c r="G213" s="174" t="s">
        <v>1271</v>
      </c>
      <c r="H213" s="175">
        <v>20</v>
      </c>
      <c r="J213" s="49">
        <f t="shared" ref="J213:J219" si="66">B213*$K$13</f>
        <v>2811100680</v>
      </c>
      <c r="K213" s="217">
        <f t="shared" ref="K213:K219" si="67">VLOOKUP(J213,$Q$14:$S$1164,3,FALSE)</f>
        <v>28.53</v>
      </c>
      <c r="L213" s="282">
        <v>19.84</v>
      </c>
      <c r="M213" s="282">
        <f t="shared" si="55"/>
        <v>21.4</v>
      </c>
      <c r="N213" s="282">
        <f t="shared" ref="N213:N219" si="68">K213*$N$13</f>
        <v>21.397500000000001</v>
      </c>
      <c r="O213" s="271"/>
      <c r="P213" s="261"/>
      <c r="Q213" s="16">
        <v>2810836705</v>
      </c>
      <c r="R213" t="s">
        <v>644</v>
      </c>
      <c r="S213" s="343">
        <v>25.790000000000003</v>
      </c>
    </row>
    <row r="214" spans="2:19">
      <c r="B214" s="215">
        <v>2811200680</v>
      </c>
      <c r="C214" s="203"/>
      <c r="D214" s="218"/>
      <c r="E214" s="216">
        <f t="shared" si="65"/>
        <v>28.62</v>
      </c>
      <c r="F214" s="216">
        <v>21.47</v>
      </c>
      <c r="G214" s="174" t="s">
        <v>1271</v>
      </c>
      <c r="H214" s="175">
        <v>26</v>
      </c>
      <c r="J214" s="49">
        <f t="shared" si="66"/>
        <v>2811200680</v>
      </c>
      <c r="K214" s="217">
        <f t="shared" si="67"/>
        <v>28.62</v>
      </c>
      <c r="L214" s="282">
        <v>19.91</v>
      </c>
      <c r="M214" s="282">
        <f t="shared" si="55"/>
        <v>21.47</v>
      </c>
      <c r="N214" s="282">
        <f t="shared" si="68"/>
        <v>21.465</v>
      </c>
      <c r="O214" s="271"/>
      <c r="P214" s="261"/>
      <c r="Q214" s="16">
        <v>2810850700</v>
      </c>
      <c r="R214" t="s">
        <v>645</v>
      </c>
      <c r="S214" s="349">
        <v>196.84</v>
      </c>
    </row>
    <row r="215" spans="2:19">
      <c r="B215" s="215">
        <v>2811400680</v>
      </c>
      <c r="C215" s="203"/>
      <c r="D215" s="218"/>
      <c r="E215" s="216">
        <f t="shared" si="65"/>
        <v>46.71</v>
      </c>
      <c r="F215" s="216">
        <v>35.03</v>
      </c>
      <c r="G215" s="174" t="s">
        <v>1271</v>
      </c>
      <c r="H215" s="175">
        <v>40</v>
      </c>
      <c r="J215" s="49">
        <f t="shared" si="66"/>
        <v>2811400680</v>
      </c>
      <c r="K215" s="217">
        <f t="shared" si="67"/>
        <v>46.71</v>
      </c>
      <c r="L215" s="282">
        <v>32.5</v>
      </c>
      <c r="M215" s="282">
        <f t="shared" si="55"/>
        <v>35.03</v>
      </c>
      <c r="N215" s="282">
        <f t="shared" si="68"/>
        <v>35.032499999999999</v>
      </c>
      <c r="O215" s="271"/>
      <c r="P215" s="261"/>
      <c r="Q215" s="16">
        <v>2810860700</v>
      </c>
      <c r="R215" t="s">
        <v>646</v>
      </c>
      <c r="S215" s="349">
        <v>201.73999999999998</v>
      </c>
    </row>
    <row r="216" spans="2:19">
      <c r="B216" s="215">
        <v>2811500680</v>
      </c>
      <c r="C216" s="203"/>
      <c r="D216" s="218"/>
      <c r="E216" s="216">
        <f t="shared" si="65"/>
        <v>61.79</v>
      </c>
      <c r="F216" s="216">
        <v>46.34</v>
      </c>
      <c r="G216" s="174" t="s">
        <v>1271</v>
      </c>
      <c r="H216" s="175">
        <v>50</v>
      </c>
      <c r="J216" s="49">
        <f t="shared" si="66"/>
        <v>2811500680</v>
      </c>
      <c r="K216" s="217">
        <f t="shared" si="67"/>
        <v>61.79</v>
      </c>
      <c r="L216" s="282">
        <v>43.01</v>
      </c>
      <c r="M216" s="282">
        <f t="shared" si="55"/>
        <v>46.34</v>
      </c>
      <c r="N216" s="282">
        <f t="shared" si="68"/>
        <v>46.342500000000001</v>
      </c>
      <c r="O216" s="271"/>
      <c r="P216" s="261"/>
      <c r="Q216" s="16">
        <v>2810870700</v>
      </c>
      <c r="R216" t="s">
        <v>647</v>
      </c>
      <c r="S216" s="349">
        <v>226.5</v>
      </c>
    </row>
    <row r="217" spans="2:19">
      <c r="B217" s="215">
        <v>2811600690</v>
      </c>
      <c r="E217" s="216">
        <f t="shared" si="65"/>
        <v>78.88</v>
      </c>
      <c r="F217" s="216">
        <v>59.16</v>
      </c>
      <c r="G217" s="222" t="s">
        <v>1272</v>
      </c>
      <c r="H217" s="175">
        <v>63</v>
      </c>
      <c r="J217" s="49">
        <f t="shared" si="66"/>
        <v>2811600690</v>
      </c>
      <c r="K217" s="217">
        <f t="shared" si="67"/>
        <v>78.88</v>
      </c>
      <c r="L217" s="282">
        <v>59.15</v>
      </c>
      <c r="M217" s="282">
        <f t="shared" si="55"/>
        <v>59.16</v>
      </c>
      <c r="N217" s="282">
        <f t="shared" si="68"/>
        <v>59.16</v>
      </c>
      <c r="O217" s="271"/>
      <c r="P217" s="261"/>
      <c r="Q217" s="16">
        <v>2810872100</v>
      </c>
      <c r="R217" t="s">
        <v>648</v>
      </c>
      <c r="S217" s="349">
        <v>193.10999999999999</v>
      </c>
    </row>
    <row r="218" spans="2:19">
      <c r="B218" s="215">
        <v>2811700690</v>
      </c>
      <c r="E218" s="216">
        <f t="shared" si="65"/>
        <v>138.63999999999999</v>
      </c>
      <c r="F218" s="216">
        <v>103.98</v>
      </c>
      <c r="G218" s="222" t="s">
        <v>1273</v>
      </c>
      <c r="H218" s="175">
        <v>80</v>
      </c>
      <c r="J218" s="49">
        <f t="shared" si="66"/>
        <v>2811700690</v>
      </c>
      <c r="K218" s="217">
        <f t="shared" si="67"/>
        <v>138.63999999999999</v>
      </c>
      <c r="L218" s="282">
        <v>104</v>
      </c>
      <c r="M218" s="282">
        <f t="shared" si="55"/>
        <v>103.98</v>
      </c>
      <c r="N218" s="282">
        <f t="shared" si="68"/>
        <v>103.97999999999999</v>
      </c>
      <c r="O218" s="271"/>
      <c r="P218" s="261"/>
      <c r="Q218" s="16">
        <v>2810880200</v>
      </c>
      <c r="R218" t="s">
        <v>649</v>
      </c>
      <c r="S218" s="349">
        <v>143.63</v>
      </c>
    </row>
    <row r="219" spans="2:19">
      <c r="B219" s="215">
        <v>2810981600</v>
      </c>
      <c r="C219" s="203"/>
      <c r="D219" s="218"/>
      <c r="E219" s="216">
        <f t="shared" si="65"/>
        <v>112.65</v>
      </c>
      <c r="F219" s="216">
        <v>84.49</v>
      </c>
      <c r="G219" s="174" t="s">
        <v>44</v>
      </c>
      <c r="H219" s="175" t="s">
        <v>1274</v>
      </c>
      <c r="J219" s="49">
        <f t="shared" si="66"/>
        <v>2810981600</v>
      </c>
      <c r="K219" s="217">
        <f t="shared" si="67"/>
        <v>112.65</v>
      </c>
      <c r="L219" s="282">
        <v>82.69</v>
      </c>
      <c r="M219" s="282">
        <f t="shared" si="55"/>
        <v>84.49</v>
      </c>
      <c r="N219" s="282">
        <f t="shared" si="68"/>
        <v>84.487500000000011</v>
      </c>
      <c r="O219" s="271"/>
      <c r="P219" s="261"/>
      <c r="Q219" s="16">
        <v>2810900200</v>
      </c>
      <c r="R219" s="347" t="s">
        <v>650</v>
      </c>
      <c r="S219" s="349">
        <v>152.07999999999998</v>
      </c>
    </row>
    <row r="220" spans="2:19">
      <c r="B220" s="215"/>
      <c r="C220" s="203"/>
      <c r="E220" s="216"/>
      <c r="F220" s="216"/>
      <c r="K220" s="217"/>
      <c r="L220" s="282"/>
      <c r="M220" s="282"/>
      <c r="N220" s="282"/>
      <c r="O220" s="271"/>
      <c r="P220" s="261"/>
      <c r="Q220" s="16">
        <v>2810900300</v>
      </c>
      <c r="R220" s="347" t="s">
        <v>651</v>
      </c>
      <c r="S220" s="349">
        <v>235.03</v>
      </c>
    </row>
    <row r="221" spans="2:19">
      <c r="B221" s="215">
        <v>2811205181</v>
      </c>
      <c r="C221" s="203"/>
      <c r="E221" s="216">
        <f t="shared" ref="E221:E232" si="69">VLOOKUP(B221,$Q$14:$S$1164,3,FALSE)</f>
        <v>115.83</v>
      </c>
      <c r="F221" s="216">
        <v>86.87</v>
      </c>
      <c r="G221" s="174" t="s">
        <v>1275</v>
      </c>
      <c r="H221" s="175">
        <v>25</v>
      </c>
      <c r="J221" s="49">
        <f t="shared" ref="J221:J232" si="70">B221*$K$13</f>
        <v>2811205181</v>
      </c>
      <c r="K221" s="217">
        <f t="shared" ref="K221:K232" si="71">VLOOKUP(J221,$Q$14:$S$1164,3,FALSE)</f>
        <v>115.83</v>
      </c>
      <c r="L221" s="282">
        <v>80.61</v>
      </c>
      <c r="M221" s="282">
        <f t="shared" si="55"/>
        <v>86.87</v>
      </c>
      <c r="N221" s="282">
        <f t="shared" ref="N221:N232" si="72">K221*$N$13</f>
        <v>86.872500000000002</v>
      </c>
      <c r="O221" s="271"/>
      <c r="P221" s="261"/>
      <c r="Q221" s="16">
        <v>2810900400</v>
      </c>
      <c r="R221" s="347" t="s">
        <v>652</v>
      </c>
      <c r="S221" s="349">
        <v>236.47</v>
      </c>
    </row>
    <row r="222" spans="2:19">
      <c r="B222" s="215">
        <v>2811225381</v>
      </c>
      <c r="C222" s="203"/>
      <c r="E222" s="216">
        <f t="shared" si="69"/>
        <v>119.01</v>
      </c>
      <c r="F222" s="216">
        <v>89.26</v>
      </c>
      <c r="G222" s="174" t="s">
        <v>799</v>
      </c>
      <c r="H222" s="175">
        <v>25</v>
      </c>
      <c r="J222" s="49">
        <f t="shared" si="70"/>
        <v>2811225381</v>
      </c>
      <c r="K222" s="217">
        <f t="shared" si="71"/>
        <v>119.01</v>
      </c>
      <c r="L222" s="282">
        <v>82.84</v>
      </c>
      <c r="M222" s="282">
        <f t="shared" si="55"/>
        <v>89.26</v>
      </c>
      <c r="N222" s="282">
        <f t="shared" si="72"/>
        <v>89.257500000000007</v>
      </c>
      <c r="O222" s="271"/>
      <c r="P222" s="261"/>
      <c r="Q222" s="16">
        <v>2810900500</v>
      </c>
      <c r="R222" s="347" t="s">
        <v>653</v>
      </c>
      <c r="S222" s="349">
        <v>345.64</v>
      </c>
    </row>
    <row r="223" spans="2:19">
      <c r="B223" s="215">
        <v>2811105181</v>
      </c>
      <c r="C223" s="203"/>
      <c r="E223" s="216">
        <f t="shared" si="69"/>
        <v>96.27000000000001</v>
      </c>
      <c r="F223" s="216">
        <v>72.2</v>
      </c>
      <c r="G223" s="174" t="s">
        <v>746</v>
      </c>
      <c r="H223" s="175">
        <v>20</v>
      </c>
      <c r="J223" s="49">
        <f t="shared" si="70"/>
        <v>2811105181</v>
      </c>
      <c r="K223" s="217">
        <f t="shared" si="71"/>
        <v>96.27000000000001</v>
      </c>
      <c r="L223" s="282">
        <v>67.010000000000005</v>
      </c>
      <c r="M223" s="282">
        <f t="shared" ref="M223:M286" si="73">ROUND(N223,2)</f>
        <v>72.2</v>
      </c>
      <c r="N223" s="282">
        <f t="shared" si="72"/>
        <v>72.202500000000015</v>
      </c>
      <c r="O223" s="271"/>
      <c r="P223" s="261"/>
      <c r="Q223" s="16">
        <v>2810902210</v>
      </c>
      <c r="R223" t="s">
        <v>654</v>
      </c>
      <c r="S223" s="343">
        <v>167.92999999999998</v>
      </c>
    </row>
    <row r="224" spans="2:19">
      <c r="B224" s="215">
        <v>2811405181</v>
      </c>
      <c r="C224" s="203"/>
      <c r="E224" s="216">
        <f t="shared" si="69"/>
        <v>166.88</v>
      </c>
      <c r="F224" s="216">
        <v>125.16</v>
      </c>
      <c r="G224" s="174" t="s">
        <v>1276</v>
      </c>
      <c r="H224" s="175">
        <v>40</v>
      </c>
      <c r="J224" s="49">
        <f t="shared" si="70"/>
        <v>2811405181</v>
      </c>
      <c r="K224" s="217">
        <f t="shared" si="71"/>
        <v>166.88</v>
      </c>
      <c r="L224" s="282">
        <v>116.16</v>
      </c>
      <c r="M224" s="282">
        <f t="shared" si="73"/>
        <v>125.16</v>
      </c>
      <c r="N224" s="282">
        <f t="shared" si="72"/>
        <v>125.16</v>
      </c>
      <c r="O224" s="271"/>
      <c r="P224" s="261"/>
      <c r="Q224" s="16">
        <v>2810905100</v>
      </c>
      <c r="R224" s="347" t="s">
        <v>655</v>
      </c>
      <c r="S224" s="349">
        <v>515.78</v>
      </c>
    </row>
    <row r="225" spans="2:19">
      <c r="B225" s="215">
        <v>2811505181</v>
      </c>
      <c r="C225" s="203"/>
      <c r="E225" s="216">
        <f t="shared" si="69"/>
        <v>267.27</v>
      </c>
      <c r="F225" s="216">
        <v>200.45</v>
      </c>
      <c r="G225" s="174" t="s">
        <v>1277</v>
      </c>
      <c r="H225" s="175">
        <v>50</v>
      </c>
      <c r="J225" s="49">
        <f t="shared" si="70"/>
        <v>2811505181</v>
      </c>
      <c r="K225" s="217">
        <f t="shared" si="71"/>
        <v>267.27</v>
      </c>
      <c r="L225" s="282">
        <v>186.03</v>
      </c>
      <c r="M225" s="282">
        <f t="shared" si="73"/>
        <v>200.45</v>
      </c>
      <c r="N225" s="282">
        <f t="shared" si="72"/>
        <v>200.45249999999999</v>
      </c>
      <c r="O225" s="271"/>
      <c r="P225" s="265"/>
      <c r="Q225" s="16">
        <v>2810906400</v>
      </c>
      <c r="R225" t="s">
        <v>656</v>
      </c>
      <c r="S225" s="343">
        <v>47.47</v>
      </c>
    </row>
    <row r="226" spans="2:19">
      <c r="B226" s="215">
        <v>2811115381</v>
      </c>
      <c r="C226" s="203"/>
      <c r="E226" s="216">
        <f t="shared" si="69"/>
        <v>77</v>
      </c>
      <c r="F226" s="216">
        <v>57.75</v>
      </c>
      <c r="G226" s="174" t="s">
        <v>1278</v>
      </c>
      <c r="H226" s="175">
        <v>20</v>
      </c>
      <c r="J226" s="49">
        <f t="shared" si="70"/>
        <v>2811115381</v>
      </c>
      <c r="K226" s="217">
        <f t="shared" si="71"/>
        <v>77</v>
      </c>
      <c r="L226" s="282">
        <v>63.83</v>
      </c>
      <c r="M226" s="282">
        <f t="shared" si="73"/>
        <v>57.75</v>
      </c>
      <c r="N226" s="282">
        <f t="shared" si="72"/>
        <v>57.75</v>
      </c>
      <c r="O226" s="271"/>
      <c r="P226" s="265"/>
      <c r="Q226" s="16">
        <v>2810912210</v>
      </c>
      <c r="R226" s="347" t="s">
        <v>657</v>
      </c>
      <c r="S226" s="343">
        <v>213.5</v>
      </c>
    </row>
    <row r="227" spans="2:19">
      <c r="B227" s="215">
        <v>2811445381</v>
      </c>
      <c r="C227" s="203"/>
      <c r="E227" s="216">
        <f t="shared" si="69"/>
        <v>162.72999999999999</v>
      </c>
      <c r="F227" s="216">
        <v>122.05</v>
      </c>
      <c r="G227" s="174" t="s">
        <v>1279</v>
      </c>
      <c r="H227" s="175">
        <v>40</v>
      </c>
      <c r="J227" s="49">
        <f t="shared" si="70"/>
        <v>2811445381</v>
      </c>
      <c r="K227" s="217">
        <f t="shared" si="71"/>
        <v>162.72999999999999</v>
      </c>
      <c r="L227" s="282">
        <v>113.27</v>
      </c>
      <c r="M227" s="282">
        <f t="shared" si="73"/>
        <v>122.05</v>
      </c>
      <c r="N227" s="282">
        <f t="shared" si="72"/>
        <v>122.04749999999999</v>
      </c>
      <c r="O227" s="271"/>
      <c r="P227" s="265"/>
      <c r="Q227" s="16">
        <v>2810915400</v>
      </c>
      <c r="R227" s="347" t="s">
        <v>640</v>
      </c>
      <c r="S227" s="349">
        <v>253.76</v>
      </c>
    </row>
    <row r="228" spans="2:19">
      <c r="B228" s="215">
        <v>2811555381</v>
      </c>
      <c r="C228" s="203"/>
      <c r="E228" s="216">
        <f t="shared" si="69"/>
        <v>231.60999999999999</v>
      </c>
      <c r="F228" s="216">
        <v>173.71</v>
      </c>
      <c r="G228" s="174" t="s">
        <v>1280</v>
      </c>
      <c r="H228" s="175">
        <v>50</v>
      </c>
      <c r="J228" s="49">
        <f t="shared" si="70"/>
        <v>2811555381</v>
      </c>
      <c r="K228" s="217">
        <f t="shared" si="71"/>
        <v>231.60999999999999</v>
      </c>
      <c r="L228" s="282">
        <v>161.22</v>
      </c>
      <c r="M228" s="282">
        <f t="shared" si="73"/>
        <v>173.71</v>
      </c>
      <c r="N228" s="282">
        <f t="shared" si="72"/>
        <v>173.70749999999998</v>
      </c>
      <c r="O228" s="271"/>
      <c r="P228" s="265"/>
      <c r="Q228" s="16">
        <v>2810920800</v>
      </c>
      <c r="R228" t="s">
        <v>658</v>
      </c>
      <c r="S228" s="343">
        <v>249.13</v>
      </c>
    </row>
    <row r="229" spans="2:19">
      <c r="B229" s="215">
        <v>2811605190</v>
      </c>
      <c r="E229" s="216">
        <f t="shared" si="69"/>
        <v>559.44000000000005</v>
      </c>
      <c r="F229" s="216">
        <v>419.58</v>
      </c>
      <c r="G229" s="222" t="s">
        <v>1281</v>
      </c>
      <c r="H229" s="175">
        <v>63</v>
      </c>
      <c r="J229" s="49">
        <f t="shared" si="70"/>
        <v>2811605190</v>
      </c>
      <c r="K229" s="217">
        <f t="shared" si="71"/>
        <v>559.44000000000005</v>
      </c>
      <c r="L229" s="282">
        <v>419.57</v>
      </c>
      <c r="M229" s="282">
        <f t="shared" si="73"/>
        <v>419.58</v>
      </c>
      <c r="N229" s="282">
        <f t="shared" si="72"/>
        <v>419.58000000000004</v>
      </c>
      <c r="O229" s="271"/>
      <c r="P229" s="261"/>
      <c r="Q229" s="16">
        <v>2810920900</v>
      </c>
      <c r="R229" t="s">
        <v>659</v>
      </c>
      <c r="S229" s="343">
        <v>410.48</v>
      </c>
    </row>
    <row r="230" spans="2:19">
      <c r="B230" s="215">
        <v>2811705190</v>
      </c>
      <c r="E230" s="216">
        <f t="shared" si="69"/>
        <v>710.15</v>
      </c>
      <c r="F230" s="216">
        <v>532.61</v>
      </c>
      <c r="G230" s="222" t="s">
        <v>1282</v>
      </c>
      <c r="H230" s="175">
        <v>80</v>
      </c>
      <c r="J230" s="49">
        <f t="shared" si="70"/>
        <v>2811705190</v>
      </c>
      <c r="K230" s="217">
        <f t="shared" si="71"/>
        <v>710.15</v>
      </c>
      <c r="L230" s="282">
        <v>532.78</v>
      </c>
      <c r="M230" s="282">
        <f t="shared" si="73"/>
        <v>532.61</v>
      </c>
      <c r="N230" s="282">
        <f t="shared" si="72"/>
        <v>532.61249999999995</v>
      </c>
      <c r="O230" s="271"/>
      <c r="P230" s="261"/>
      <c r="Q230" s="16">
        <v>2810970700</v>
      </c>
      <c r="R230" s="347" t="s">
        <v>660</v>
      </c>
      <c r="S230" s="349">
        <v>225.29</v>
      </c>
    </row>
    <row r="231" spans="2:19">
      <c r="B231" s="215">
        <v>2811775390</v>
      </c>
      <c r="E231" s="216">
        <f t="shared" si="69"/>
        <v>731.71</v>
      </c>
      <c r="F231" s="216">
        <v>548.78</v>
      </c>
      <c r="G231" s="222" t="s">
        <v>1283</v>
      </c>
      <c r="H231" s="175">
        <v>80</v>
      </c>
      <c r="J231" s="49">
        <f t="shared" si="70"/>
        <v>2811775390</v>
      </c>
      <c r="K231" s="217">
        <f t="shared" si="71"/>
        <v>731.71</v>
      </c>
      <c r="L231" s="282">
        <v>532.79999999999995</v>
      </c>
      <c r="M231" s="282">
        <f t="shared" si="73"/>
        <v>548.78</v>
      </c>
      <c r="N231" s="282">
        <f t="shared" si="72"/>
        <v>548.78250000000003</v>
      </c>
      <c r="O231" s="271"/>
      <c r="P231" s="261"/>
      <c r="Q231" s="16">
        <v>2810980700</v>
      </c>
      <c r="R231" s="347" t="s">
        <v>661</v>
      </c>
      <c r="S231" s="349">
        <v>225.29</v>
      </c>
    </row>
    <row r="232" spans="2:19">
      <c r="B232" s="215">
        <v>2811665390</v>
      </c>
      <c r="E232" s="216">
        <f t="shared" si="69"/>
        <v>559.44000000000005</v>
      </c>
      <c r="F232" s="216">
        <v>419.58</v>
      </c>
      <c r="G232" s="222" t="s">
        <v>1284</v>
      </c>
      <c r="H232" s="175">
        <v>63</v>
      </c>
      <c r="J232" s="49">
        <f t="shared" si="70"/>
        <v>2811665390</v>
      </c>
      <c r="K232" s="217">
        <f t="shared" si="71"/>
        <v>559.44000000000005</v>
      </c>
      <c r="L232" s="282">
        <v>419.57</v>
      </c>
      <c r="M232" s="282">
        <f t="shared" si="73"/>
        <v>419.58</v>
      </c>
      <c r="N232" s="282">
        <f t="shared" si="72"/>
        <v>419.58000000000004</v>
      </c>
      <c r="O232" s="271"/>
      <c r="P232" s="261"/>
      <c r="Q232" s="16">
        <v>2810981600</v>
      </c>
      <c r="R232" s="347" t="s">
        <v>662</v>
      </c>
      <c r="S232" s="349">
        <v>112.65</v>
      </c>
    </row>
    <row r="233" spans="2:19">
      <c r="E233" s="216"/>
      <c r="F233" s="216"/>
      <c r="K233" s="217"/>
      <c r="L233" s="282"/>
      <c r="M233" s="282"/>
      <c r="N233" s="282"/>
      <c r="O233" s="271"/>
      <c r="P233" s="261"/>
      <c r="Q233" s="16">
        <v>2810982100</v>
      </c>
      <c r="R233" s="347" t="s">
        <v>663</v>
      </c>
      <c r="S233" s="349">
        <v>168.98</v>
      </c>
    </row>
    <row r="234" spans="2:19">
      <c r="B234" s="215">
        <v>2811615490</v>
      </c>
      <c r="E234" s="216">
        <f>VLOOKUP(B234,$Q$14:$S$1164,3,FALSE)</f>
        <v>139.06</v>
      </c>
      <c r="F234" s="216">
        <v>104.3</v>
      </c>
      <c r="G234" s="222" t="s">
        <v>1285</v>
      </c>
      <c r="H234" s="175">
        <v>63</v>
      </c>
      <c r="J234" s="49">
        <f>B234*$K$13</f>
        <v>2811615490</v>
      </c>
      <c r="K234" s="217">
        <f>VLOOKUP(J234,$Q$14:$S$1164,3,FALSE)</f>
        <v>139.06</v>
      </c>
      <c r="L234" s="282">
        <v>104.29</v>
      </c>
      <c r="M234" s="282">
        <f t="shared" si="73"/>
        <v>104.3</v>
      </c>
      <c r="N234" s="282">
        <f>K234*$N$13</f>
        <v>104.295</v>
      </c>
      <c r="O234" s="271"/>
      <c r="P234" s="261"/>
      <c r="Q234" s="16">
        <v>2811000880</v>
      </c>
      <c r="R234" t="s">
        <v>664</v>
      </c>
      <c r="S234" s="343">
        <v>101.96000000000001</v>
      </c>
    </row>
    <row r="235" spans="2:19">
      <c r="B235" s="215">
        <v>2811715490</v>
      </c>
      <c r="E235" s="216">
        <f>VLOOKUP(B235,$Q$14:$S$1164,3,FALSE)</f>
        <v>231.95</v>
      </c>
      <c r="F235" s="216">
        <v>173.96</v>
      </c>
      <c r="G235" s="222" t="s">
        <v>1286</v>
      </c>
      <c r="H235" s="175">
        <v>80</v>
      </c>
      <c r="J235" s="49">
        <f>B235*$K$13</f>
        <v>2811715490</v>
      </c>
      <c r="K235" s="217">
        <f>VLOOKUP(J235,$Q$14:$S$1164,3,FALSE)</f>
        <v>231.95</v>
      </c>
      <c r="L235" s="282">
        <v>170.25</v>
      </c>
      <c r="M235" s="282">
        <f t="shared" si="73"/>
        <v>173.96</v>
      </c>
      <c r="N235" s="282">
        <f>K235*$N$13</f>
        <v>173.96249999999998</v>
      </c>
      <c r="O235" s="271"/>
      <c r="P235" s="261"/>
      <c r="Q235" s="16">
        <v>2811000980</v>
      </c>
      <c r="R235" t="s">
        <v>665</v>
      </c>
      <c r="S235" s="343">
        <v>81.59</v>
      </c>
    </row>
    <row r="236" spans="2:19">
      <c r="B236" s="215"/>
      <c r="E236" s="216"/>
      <c r="F236" s="216"/>
      <c r="G236" s="222"/>
      <c r="K236" s="217"/>
      <c r="L236" s="282"/>
      <c r="M236" s="282"/>
      <c r="N236" s="282"/>
      <c r="O236" s="271"/>
      <c r="P236" s="265"/>
      <c r="Q236" s="16">
        <v>2811001980</v>
      </c>
      <c r="R236" t="s">
        <v>666</v>
      </c>
      <c r="S236" s="343">
        <v>64.75</v>
      </c>
    </row>
    <row r="237" spans="2:19">
      <c r="B237" s="215">
        <v>1606456104</v>
      </c>
      <c r="C237" s="203"/>
      <c r="D237" s="226" t="s">
        <v>96</v>
      </c>
      <c r="E237" s="216">
        <f t="shared" ref="E237:E245" si="74">VLOOKUP(B237,$Q$14:$S$1164,3,FALSE)</f>
        <v>385.83</v>
      </c>
      <c r="F237" s="216">
        <v>289.37</v>
      </c>
      <c r="G237" s="174" t="s">
        <v>373</v>
      </c>
      <c r="H237" s="175">
        <v>100</v>
      </c>
      <c r="J237" s="49">
        <f t="shared" ref="J237:J245" si="75">B237*$K$13</f>
        <v>1606456104</v>
      </c>
      <c r="K237" s="217">
        <f t="shared" ref="K237:K245" si="76">VLOOKUP(J237,$Q$14:$S$1164,3,FALSE)</f>
        <v>385.83</v>
      </c>
      <c r="L237" s="282">
        <v>280.94</v>
      </c>
      <c r="M237" s="282">
        <f t="shared" si="73"/>
        <v>289.37</v>
      </c>
      <c r="N237" s="282">
        <f t="shared" ref="N237:N245" si="77">K237*$N$13</f>
        <v>289.3725</v>
      </c>
      <c r="O237" s="271"/>
      <c r="P237" s="265"/>
      <c r="Q237" s="16">
        <v>2811002080</v>
      </c>
      <c r="R237" t="s">
        <v>667</v>
      </c>
      <c r="S237" s="343">
        <v>51.72</v>
      </c>
    </row>
    <row r="238" spans="2:19">
      <c r="B238" s="215">
        <v>2810905100</v>
      </c>
      <c r="C238" s="203"/>
      <c r="D238" s="226" t="s">
        <v>91</v>
      </c>
      <c r="E238" s="216">
        <f t="shared" si="74"/>
        <v>515.78</v>
      </c>
      <c r="F238" s="216">
        <v>386.84</v>
      </c>
      <c r="G238" s="174" t="s">
        <v>373</v>
      </c>
      <c r="H238" s="175">
        <v>158</v>
      </c>
      <c r="J238" s="49">
        <f t="shared" si="75"/>
        <v>2810905100</v>
      </c>
      <c r="K238" s="217">
        <f t="shared" si="76"/>
        <v>515.78</v>
      </c>
      <c r="L238" s="282">
        <v>378.6</v>
      </c>
      <c r="M238" s="282">
        <f t="shared" si="73"/>
        <v>386.84</v>
      </c>
      <c r="N238" s="282">
        <f t="shared" si="77"/>
        <v>386.83499999999998</v>
      </c>
      <c r="O238" s="271"/>
      <c r="P238" s="265"/>
      <c r="Q238" s="345">
        <v>2811002580</v>
      </c>
      <c r="S238" s="343">
        <v>39.57</v>
      </c>
    </row>
    <row r="239" spans="2:19">
      <c r="B239" s="206">
        <v>2810806010</v>
      </c>
      <c r="C239" s="203"/>
      <c r="D239" s="226" t="s">
        <v>96</v>
      </c>
      <c r="E239" s="216">
        <f t="shared" si="74"/>
        <v>45.82</v>
      </c>
      <c r="F239" s="216">
        <v>34.369999999999997</v>
      </c>
      <c r="G239" s="227" t="s">
        <v>1287</v>
      </c>
      <c r="H239" s="228" t="s">
        <v>1288</v>
      </c>
      <c r="J239" s="49">
        <f t="shared" si="75"/>
        <v>2810806010</v>
      </c>
      <c r="K239" s="217">
        <f t="shared" si="76"/>
        <v>45.82</v>
      </c>
      <c r="L239" s="282">
        <v>33.36</v>
      </c>
      <c r="M239" s="282">
        <f t="shared" si="73"/>
        <v>34.369999999999997</v>
      </c>
      <c r="N239" s="282">
        <f t="shared" si="77"/>
        <v>34.365000000000002</v>
      </c>
      <c r="O239" s="271"/>
      <c r="P239" s="265"/>
      <c r="Q239" s="16">
        <v>2811002680</v>
      </c>
      <c r="R239" t="s">
        <v>668</v>
      </c>
      <c r="S239" s="343">
        <v>45.559999999999995</v>
      </c>
    </row>
    <row r="240" spans="2:19">
      <c r="B240" s="215">
        <v>2810025408</v>
      </c>
      <c r="C240" s="203"/>
      <c r="D240" s="226" t="s">
        <v>96</v>
      </c>
      <c r="E240" s="216">
        <f t="shared" si="74"/>
        <v>96.53</v>
      </c>
      <c r="F240" s="216">
        <v>72.400000000000006</v>
      </c>
      <c r="G240" s="174" t="s">
        <v>1289</v>
      </c>
      <c r="H240" s="175" t="s">
        <v>96</v>
      </c>
      <c r="J240" s="49">
        <f t="shared" si="75"/>
        <v>2810025408</v>
      </c>
      <c r="K240" s="217">
        <f t="shared" si="76"/>
        <v>96.53</v>
      </c>
      <c r="L240" s="282">
        <v>67.180000000000007</v>
      </c>
      <c r="M240" s="282">
        <f t="shared" si="73"/>
        <v>72.400000000000006</v>
      </c>
      <c r="N240" s="282">
        <f t="shared" si="77"/>
        <v>72.397500000000008</v>
      </c>
      <c r="O240" s="271"/>
      <c r="P240" s="265"/>
      <c r="Q240" s="16">
        <v>2811002710</v>
      </c>
      <c r="R240" t="s">
        <v>669</v>
      </c>
      <c r="S240" s="349">
        <v>23.310000000000002</v>
      </c>
    </row>
    <row r="241" spans="2:20">
      <c r="B241" s="215">
        <v>2810045408</v>
      </c>
      <c r="C241" s="203"/>
      <c r="D241" s="226" t="s">
        <v>91</v>
      </c>
      <c r="E241" s="216">
        <f t="shared" si="74"/>
        <v>70.600000000000009</v>
      </c>
      <c r="F241" s="216">
        <v>52.95</v>
      </c>
      <c r="G241" s="174" t="s">
        <v>1289</v>
      </c>
      <c r="H241" s="175" t="s">
        <v>91</v>
      </c>
      <c r="J241" s="49">
        <f t="shared" si="75"/>
        <v>2810045408</v>
      </c>
      <c r="K241" s="217">
        <f t="shared" si="76"/>
        <v>70.600000000000009</v>
      </c>
      <c r="L241" s="282">
        <v>49.14</v>
      </c>
      <c r="M241" s="282">
        <f t="shared" si="73"/>
        <v>52.95</v>
      </c>
      <c r="N241" s="282">
        <f t="shared" si="77"/>
        <v>52.95</v>
      </c>
      <c r="O241" s="271"/>
      <c r="P241" s="261"/>
      <c r="Q241" s="16">
        <v>2811002880</v>
      </c>
      <c r="R241" t="s">
        <v>670</v>
      </c>
      <c r="S241" s="343">
        <v>343.31</v>
      </c>
    </row>
    <row r="242" spans="2:20">
      <c r="B242" s="215">
        <v>2811615490</v>
      </c>
      <c r="C242" s="203"/>
      <c r="D242" s="226" t="s">
        <v>25</v>
      </c>
      <c r="E242" s="216">
        <f t="shared" si="74"/>
        <v>139.06</v>
      </c>
      <c r="F242" s="216">
        <v>104.3</v>
      </c>
      <c r="G242" s="174" t="s">
        <v>1290</v>
      </c>
      <c r="H242" s="175">
        <v>63</v>
      </c>
      <c r="J242" s="49">
        <f t="shared" si="75"/>
        <v>2811615490</v>
      </c>
      <c r="K242" s="217">
        <f t="shared" si="76"/>
        <v>139.06</v>
      </c>
      <c r="L242" s="282">
        <v>104.29</v>
      </c>
      <c r="M242" s="282">
        <f t="shared" si="73"/>
        <v>104.3</v>
      </c>
      <c r="N242" s="282">
        <f t="shared" si="77"/>
        <v>104.295</v>
      </c>
      <c r="O242" s="271"/>
      <c r="P242" s="263"/>
      <c r="Q242" s="16">
        <v>2811004500</v>
      </c>
      <c r="R242" s="347" t="s">
        <v>671</v>
      </c>
      <c r="S242" s="349">
        <v>405.01</v>
      </c>
      <c r="T242">
        <v>445.51</v>
      </c>
    </row>
    <row r="243" spans="2:20">
      <c r="B243" s="215">
        <v>2811715490</v>
      </c>
      <c r="C243" s="203"/>
      <c r="D243" s="226" t="s">
        <v>26</v>
      </c>
      <c r="E243" s="216">
        <f t="shared" si="74"/>
        <v>231.95</v>
      </c>
      <c r="F243" s="216">
        <v>173.96</v>
      </c>
      <c r="G243" s="174" t="s">
        <v>1291</v>
      </c>
      <c r="H243" s="175">
        <v>80</v>
      </c>
      <c r="J243" s="49">
        <f t="shared" si="75"/>
        <v>2811715490</v>
      </c>
      <c r="K243" s="217">
        <f t="shared" si="76"/>
        <v>231.95</v>
      </c>
      <c r="L243" s="282">
        <v>170.25</v>
      </c>
      <c r="M243" s="282">
        <f t="shared" si="73"/>
        <v>173.96</v>
      </c>
      <c r="N243" s="282">
        <f t="shared" si="77"/>
        <v>173.96249999999998</v>
      </c>
      <c r="O243" s="271"/>
      <c r="P243" s="263"/>
      <c r="Q243" s="16">
        <v>2811007400</v>
      </c>
      <c r="R243" t="s">
        <v>672</v>
      </c>
      <c r="S243" s="343">
        <v>3745.1800000000003</v>
      </c>
    </row>
    <row r="244" spans="2:20">
      <c r="B244" s="215">
        <v>2810825400</v>
      </c>
      <c r="C244" s="203"/>
      <c r="D244" s="229" t="s">
        <v>96</v>
      </c>
      <c r="E244" s="216">
        <f t="shared" si="74"/>
        <v>235.44</v>
      </c>
      <c r="F244" s="216">
        <v>176.58</v>
      </c>
      <c r="G244" s="174" t="s">
        <v>1292</v>
      </c>
      <c r="H244" s="175">
        <v>100</v>
      </c>
      <c r="J244" s="49">
        <f t="shared" si="75"/>
        <v>2810825400</v>
      </c>
      <c r="K244" s="217">
        <f t="shared" si="76"/>
        <v>235.44</v>
      </c>
      <c r="L244" s="282">
        <v>172.81</v>
      </c>
      <c r="M244" s="282">
        <f t="shared" si="73"/>
        <v>176.58</v>
      </c>
      <c r="N244" s="282">
        <f t="shared" si="77"/>
        <v>176.57999999999998</v>
      </c>
      <c r="O244" s="271"/>
      <c r="P244" s="263"/>
      <c r="Q244" s="16">
        <v>2811007502</v>
      </c>
      <c r="R244" t="s">
        <v>673</v>
      </c>
      <c r="S244" s="343">
        <v>9.52</v>
      </c>
    </row>
    <row r="245" spans="2:20">
      <c r="B245" s="215">
        <v>2810915400</v>
      </c>
      <c r="C245" s="203"/>
      <c r="D245" s="229" t="s">
        <v>91</v>
      </c>
      <c r="E245" s="216">
        <f t="shared" si="74"/>
        <v>253.76</v>
      </c>
      <c r="F245" s="216">
        <v>190.32</v>
      </c>
      <c r="G245" s="174" t="s">
        <v>1293</v>
      </c>
      <c r="H245" s="175">
        <v>158</v>
      </c>
      <c r="J245" s="49">
        <f t="shared" si="75"/>
        <v>2810915400</v>
      </c>
      <c r="K245" s="217">
        <f t="shared" si="76"/>
        <v>253.76</v>
      </c>
      <c r="L245" s="282">
        <v>186.27</v>
      </c>
      <c r="M245" s="282">
        <f t="shared" si="73"/>
        <v>190.32</v>
      </c>
      <c r="N245" s="282">
        <f t="shared" si="77"/>
        <v>190.32</v>
      </c>
      <c r="O245" s="271"/>
      <c r="P245" s="261"/>
      <c r="Q245" s="16">
        <v>2811007700</v>
      </c>
      <c r="R245" t="s">
        <v>674</v>
      </c>
      <c r="S245" s="343">
        <v>9.0499999999999989</v>
      </c>
    </row>
    <row r="246" spans="2:20">
      <c r="B246" s="215"/>
      <c r="C246" s="203"/>
      <c r="D246" s="229"/>
      <c r="E246" s="216"/>
      <c r="F246" s="216"/>
      <c r="K246" s="217"/>
      <c r="L246" s="282"/>
      <c r="M246" s="282"/>
      <c r="N246" s="282"/>
      <c r="O246" s="271"/>
      <c r="P246" s="261"/>
      <c r="Q246" s="16">
        <v>2811007800</v>
      </c>
      <c r="R246" t="s">
        <v>675</v>
      </c>
      <c r="S246" s="343">
        <v>15.03</v>
      </c>
    </row>
    <row r="247" spans="2:20">
      <c r="B247" s="215">
        <v>2811125100</v>
      </c>
      <c r="C247" s="203"/>
      <c r="E247" s="216">
        <f>VLOOKUP(B247,$Q$14:$S$1164,3,FALSE)</f>
        <v>23.830000000000002</v>
      </c>
      <c r="F247" s="216">
        <v>17.87</v>
      </c>
      <c r="G247" s="174" t="s">
        <v>1294</v>
      </c>
      <c r="H247" s="175" t="s">
        <v>1139</v>
      </c>
      <c r="J247" s="49">
        <f>B247*$K$13</f>
        <v>2811125100</v>
      </c>
      <c r="K247" s="217">
        <f>VLOOKUP(J247,$Q$14:$S$1164,3,FALSE)</f>
        <v>23.830000000000002</v>
      </c>
      <c r="L247" s="282">
        <v>17.350000000000001</v>
      </c>
      <c r="M247" s="282">
        <f t="shared" si="73"/>
        <v>17.87</v>
      </c>
      <c r="N247" s="282">
        <f>K247*$N$13</f>
        <v>17.872500000000002</v>
      </c>
      <c r="O247" s="271"/>
      <c r="P247" s="261"/>
      <c r="Q247" s="16">
        <v>2811007900</v>
      </c>
      <c r="R247" t="s">
        <v>676</v>
      </c>
      <c r="S247" s="343">
        <v>16.48</v>
      </c>
    </row>
    <row r="248" spans="2:20">
      <c r="B248" s="215">
        <v>2811455100</v>
      </c>
      <c r="E248" s="216">
        <f>VLOOKUP(B248,$Q$14:$S$1164,3,FALSE)</f>
        <v>36.89</v>
      </c>
      <c r="F248" s="216">
        <v>27.67</v>
      </c>
      <c r="G248" s="174" t="s">
        <v>1295</v>
      </c>
      <c r="H248" s="175" t="s">
        <v>1139</v>
      </c>
      <c r="J248" s="49">
        <f>B248*$K$13</f>
        <v>2811455100</v>
      </c>
      <c r="K248" s="217">
        <f>VLOOKUP(J248,$Q$14:$S$1164,3,FALSE)</f>
        <v>36.89</v>
      </c>
      <c r="L248" s="282">
        <v>26.86</v>
      </c>
      <c r="M248" s="282">
        <f t="shared" si="73"/>
        <v>27.67</v>
      </c>
      <c r="N248" s="282">
        <f>K248*$N$13</f>
        <v>27.6675</v>
      </c>
      <c r="O248" s="271"/>
      <c r="P248" s="265"/>
      <c r="Q248" s="16">
        <v>2811008800</v>
      </c>
      <c r="R248" t="s">
        <v>677</v>
      </c>
      <c r="S248" s="343">
        <v>10.97</v>
      </c>
    </row>
    <row r="249" spans="2:20">
      <c r="B249" s="215"/>
      <c r="E249" s="216"/>
      <c r="F249" s="216"/>
      <c r="K249" s="217"/>
      <c r="L249" s="282"/>
      <c r="M249" s="282"/>
      <c r="N249" s="282"/>
      <c r="O249" s="271"/>
      <c r="P249" s="265"/>
      <c r="Q249" s="16">
        <v>2811008900</v>
      </c>
      <c r="R249" t="s">
        <v>678</v>
      </c>
      <c r="S249" s="343">
        <v>5.94</v>
      </c>
    </row>
    <row r="250" spans="2:20">
      <c r="B250" s="215">
        <v>2811126400</v>
      </c>
      <c r="C250" s="203"/>
      <c r="E250" s="216">
        <f>VLOOKUP(B250,$Q$14:$S$1164,3,FALSE)</f>
        <v>30.560000000000002</v>
      </c>
      <c r="F250" s="216">
        <v>22.92</v>
      </c>
      <c r="G250" s="174" t="s">
        <v>1296</v>
      </c>
      <c r="H250" s="175" t="s">
        <v>1139</v>
      </c>
      <c r="J250" s="49">
        <f>B250*$K$13</f>
        <v>2811126400</v>
      </c>
      <c r="K250" s="217">
        <f>VLOOKUP(J250,$Q$14:$S$1164,3,FALSE)</f>
        <v>30.560000000000002</v>
      </c>
      <c r="L250" s="282">
        <v>22.25</v>
      </c>
      <c r="M250" s="282">
        <f t="shared" si="73"/>
        <v>22.92</v>
      </c>
      <c r="N250" s="282">
        <f t="shared" ref="N250:N257" si="78">K250*$N$13</f>
        <v>22.92</v>
      </c>
      <c r="O250" s="271"/>
      <c r="P250" s="261"/>
      <c r="Q250" s="16">
        <v>2811009000</v>
      </c>
      <c r="R250" t="s">
        <v>679</v>
      </c>
      <c r="S250" s="343">
        <v>17.190000000000001</v>
      </c>
    </row>
    <row r="251" spans="2:20">
      <c r="B251" s="215"/>
      <c r="C251" s="203"/>
      <c r="D251" s="229"/>
      <c r="E251" s="216"/>
      <c r="F251" s="216"/>
      <c r="K251" s="217"/>
      <c r="L251" s="282"/>
      <c r="M251" s="282"/>
      <c r="N251" s="282">
        <f t="shared" si="78"/>
        <v>0</v>
      </c>
      <c r="O251" s="271"/>
      <c r="P251" s="261"/>
      <c r="Q251" s="16">
        <v>2811012702</v>
      </c>
      <c r="R251" t="s">
        <v>680</v>
      </c>
      <c r="S251" s="343">
        <v>5.0199999999999996</v>
      </c>
    </row>
    <row r="252" spans="2:20">
      <c r="B252" s="215">
        <v>2811102480</v>
      </c>
      <c r="C252" s="203"/>
      <c r="D252" s="218"/>
      <c r="E252" s="216">
        <f t="shared" ref="E252:E257" si="79">VLOOKUP(B252,$Q$14:$S$1164,3,FALSE)</f>
        <v>43.809999999999995</v>
      </c>
      <c r="F252" s="216">
        <v>32.86</v>
      </c>
      <c r="G252" s="174" t="s">
        <v>1297</v>
      </c>
      <c r="H252" s="175">
        <v>20</v>
      </c>
      <c r="J252" s="49">
        <f t="shared" ref="J252:J257" si="80">B252*$K$13</f>
        <v>2811102480</v>
      </c>
      <c r="K252" s="217">
        <f t="shared" ref="K252:K257" si="81">VLOOKUP(J252,$Q$14:$S$1164,3,FALSE)</f>
        <v>43.809999999999995</v>
      </c>
      <c r="L252" s="282">
        <v>31.89</v>
      </c>
      <c r="M252" s="282">
        <f t="shared" si="73"/>
        <v>32.86</v>
      </c>
      <c r="N252" s="282">
        <f t="shared" si="78"/>
        <v>32.857499999999995</v>
      </c>
      <c r="O252" s="271"/>
      <c r="P252" s="261"/>
      <c r="Q252" s="16">
        <v>2811012710</v>
      </c>
      <c r="R252" t="s">
        <v>681</v>
      </c>
      <c r="S252" s="349">
        <v>46.449999999999996</v>
      </c>
    </row>
    <row r="253" spans="2:20">
      <c r="B253" s="215">
        <v>2811202480</v>
      </c>
      <c r="C253" s="203"/>
      <c r="D253" s="218"/>
      <c r="E253" s="216">
        <f t="shared" si="79"/>
        <v>44</v>
      </c>
      <c r="F253" s="216">
        <v>33</v>
      </c>
      <c r="G253" s="174" t="s">
        <v>1297</v>
      </c>
      <c r="H253" s="175">
        <v>25</v>
      </c>
      <c r="J253" s="49">
        <f t="shared" si="80"/>
        <v>2811202480</v>
      </c>
      <c r="K253" s="217">
        <f t="shared" si="81"/>
        <v>44</v>
      </c>
      <c r="L253" s="282">
        <v>35.5</v>
      </c>
      <c r="M253" s="282">
        <f t="shared" si="73"/>
        <v>33</v>
      </c>
      <c r="N253" s="282">
        <f t="shared" si="78"/>
        <v>33</v>
      </c>
      <c r="O253" s="271"/>
      <c r="P253" s="261"/>
      <c r="Q253" s="16">
        <v>2811014900</v>
      </c>
      <c r="R253" t="s">
        <v>1304</v>
      </c>
      <c r="S253" s="343">
        <v>1.4</v>
      </c>
      <c r="T253">
        <v>1.54</v>
      </c>
    </row>
    <row r="254" spans="2:20">
      <c r="B254" s="215">
        <v>2811002680</v>
      </c>
      <c r="C254" s="203"/>
      <c r="D254" s="218"/>
      <c r="E254" s="216">
        <f t="shared" si="79"/>
        <v>45.559999999999995</v>
      </c>
      <c r="F254" s="216">
        <v>34.17</v>
      </c>
      <c r="G254" s="174" t="s">
        <v>1298</v>
      </c>
      <c r="J254" s="49">
        <f t="shared" si="80"/>
        <v>2811002680</v>
      </c>
      <c r="K254" s="217">
        <f t="shared" si="81"/>
        <v>45.559999999999995</v>
      </c>
      <c r="L254" s="282">
        <v>33.17</v>
      </c>
      <c r="M254" s="282">
        <f t="shared" si="73"/>
        <v>34.17</v>
      </c>
      <c r="N254" s="282">
        <f t="shared" si="78"/>
        <v>34.169999999999995</v>
      </c>
      <c r="O254" s="271"/>
      <c r="P254" s="261"/>
      <c r="Q254" s="16">
        <v>2811017200</v>
      </c>
      <c r="R254" t="s">
        <v>682</v>
      </c>
      <c r="S254" s="343">
        <v>3.4499999999999997</v>
      </c>
    </row>
    <row r="255" spans="2:20">
      <c r="B255" s="215">
        <v>2811102680</v>
      </c>
      <c r="C255" s="203"/>
      <c r="D255" s="218"/>
      <c r="E255" s="216">
        <f t="shared" si="79"/>
        <v>46.37</v>
      </c>
      <c r="F255" s="216">
        <v>34.78</v>
      </c>
      <c r="G255" s="174" t="s">
        <v>1299</v>
      </c>
      <c r="J255" s="49">
        <f t="shared" si="80"/>
        <v>2811102680</v>
      </c>
      <c r="K255" s="217">
        <f t="shared" si="81"/>
        <v>46.37</v>
      </c>
      <c r="L255" s="282">
        <v>33.76</v>
      </c>
      <c r="M255" s="282">
        <f t="shared" si="73"/>
        <v>34.78</v>
      </c>
      <c r="N255" s="282">
        <f t="shared" si="78"/>
        <v>34.777499999999996</v>
      </c>
      <c r="O255" s="271"/>
      <c r="P255" s="265"/>
      <c r="Q255" s="16">
        <v>2811019800</v>
      </c>
      <c r="R255" t="s">
        <v>683</v>
      </c>
      <c r="S255" s="343">
        <v>12.15</v>
      </c>
    </row>
    <row r="256" spans="2:20">
      <c r="B256" s="215">
        <v>2811104180</v>
      </c>
      <c r="E256" s="216">
        <f t="shared" si="79"/>
        <v>39.869999999999997</v>
      </c>
      <c r="F256" s="216">
        <v>29.9</v>
      </c>
      <c r="G256" s="174" t="s">
        <v>1300</v>
      </c>
      <c r="H256" s="175">
        <v>20</v>
      </c>
      <c r="J256" s="49">
        <f t="shared" si="80"/>
        <v>2811104180</v>
      </c>
      <c r="K256" s="217">
        <f t="shared" si="81"/>
        <v>39.869999999999997</v>
      </c>
      <c r="L256" s="282">
        <v>29.03</v>
      </c>
      <c r="M256" s="282">
        <f t="shared" si="73"/>
        <v>29.9</v>
      </c>
      <c r="N256" s="282">
        <f t="shared" si="78"/>
        <v>29.902499999999996</v>
      </c>
      <c r="O256" s="271"/>
      <c r="P256" s="265"/>
      <c r="Q256" s="16">
        <v>2811022702</v>
      </c>
      <c r="R256" t="s">
        <v>684</v>
      </c>
      <c r="S256" s="343">
        <v>71.34</v>
      </c>
    </row>
    <row r="257" spans="2:20">
      <c r="B257" s="215">
        <v>2811204180</v>
      </c>
      <c r="E257" s="216">
        <f t="shared" si="79"/>
        <v>49.059999999999995</v>
      </c>
      <c r="F257" s="216">
        <v>36.799999999999997</v>
      </c>
      <c r="G257" s="174" t="s">
        <v>1301</v>
      </c>
      <c r="H257" s="175">
        <v>25</v>
      </c>
      <c r="J257" s="49">
        <f t="shared" si="80"/>
        <v>2811204180</v>
      </c>
      <c r="K257" s="217">
        <f t="shared" si="81"/>
        <v>49.059999999999995</v>
      </c>
      <c r="L257" s="282">
        <v>35.72</v>
      </c>
      <c r="M257" s="282">
        <f t="shared" si="73"/>
        <v>36.799999999999997</v>
      </c>
      <c r="N257" s="282">
        <f t="shared" si="78"/>
        <v>36.794999999999995</v>
      </c>
      <c r="O257" s="271"/>
      <c r="P257" s="265"/>
      <c r="Q257" s="16">
        <v>2811022710</v>
      </c>
      <c r="R257" t="s">
        <v>685</v>
      </c>
      <c r="S257" s="349">
        <v>64.03</v>
      </c>
    </row>
    <row r="258" spans="2:20">
      <c r="B258" s="215"/>
      <c r="E258" s="216"/>
      <c r="F258" s="216"/>
      <c r="K258" s="217"/>
      <c r="L258" s="282"/>
      <c r="M258" s="282"/>
      <c r="N258" s="282"/>
      <c r="O258" s="271"/>
      <c r="P258" s="265"/>
      <c r="Q258" s="16">
        <v>2811022990</v>
      </c>
      <c r="R258" s="347" t="s">
        <v>686</v>
      </c>
      <c r="S258" s="349">
        <v>5.38</v>
      </c>
      <c r="T258">
        <v>6.68</v>
      </c>
    </row>
    <row r="259" spans="2:20">
      <c r="B259" s="215">
        <v>2811104380</v>
      </c>
      <c r="C259" s="203"/>
      <c r="E259" s="216">
        <f>VLOOKUP(B259,$Q$14:$S$1164,3,FALSE)</f>
        <v>123.25</v>
      </c>
      <c r="F259" s="216">
        <v>92.44</v>
      </c>
      <c r="G259" s="174" t="s">
        <v>1302</v>
      </c>
      <c r="H259" s="175">
        <v>20</v>
      </c>
      <c r="J259" s="49">
        <f>B259*$K$13</f>
        <v>2811104380</v>
      </c>
      <c r="K259" s="217">
        <f>VLOOKUP(J259,$Q$14:$S$1164,3,FALSE)</f>
        <v>123.25</v>
      </c>
      <c r="L259" s="282">
        <v>136.29</v>
      </c>
      <c r="M259" s="282">
        <f t="shared" si="73"/>
        <v>92.44</v>
      </c>
      <c r="N259" s="282">
        <f>K259*$N$13</f>
        <v>92.4375</v>
      </c>
      <c r="O259" s="271"/>
      <c r="P259" s="265"/>
      <c r="Q259" s="16">
        <v>2811024500</v>
      </c>
      <c r="R259" s="347" t="s">
        <v>687</v>
      </c>
      <c r="S259" s="343">
        <v>735.47</v>
      </c>
      <c r="T259">
        <v>809.02</v>
      </c>
    </row>
    <row r="260" spans="2:20">
      <c r="B260" s="215">
        <v>2811204380</v>
      </c>
      <c r="C260" s="203"/>
      <c r="E260" s="216">
        <f>VLOOKUP(B260,$Q$14:$S$1164,3,FALSE)</f>
        <v>147.5</v>
      </c>
      <c r="F260" s="216">
        <v>110.63</v>
      </c>
      <c r="G260" s="174" t="s">
        <v>1303</v>
      </c>
      <c r="H260" s="175">
        <v>25</v>
      </c>
      <c r="J260" s="49">
        <f>B260*$K$13</f>
        <v>2811204380</v>
      </c>
      <c r="K260" s="217">
        <f>VLOOKUP(J260,$Q$14:$S$1164,3,FALSE)</f>
        <v>147.5</v>
      </c>
      <c r="L260" s="282">
        <v>139.57</v>
      </c>
      <c r="M260" s="282">
        <f t="shared" si="73"/>
        <v>110.63</v>
      </c>
      <c r="N260" s="282">
        <f>K260*$N$13</f>
        <v>110.625</v>
      </c>
      <c r="O260" s="271"/>
      <c r="P260" s="265"/>
      <c r="Q260" s="345">
        <v>2811024501</v>
      </c>
      <c r="R260" t="s">
        <v>1309</v>
      </c>
      <c r="S260" s="343">
        <v>182.54999999999998</v>
      </c>
    </row>
    <row r="261" spans="2:20">
      <c r="E261" s="216"/>
      <c r="F261" s="216"/>
      <c r="K261" s="217"/>
      <c r="L261" s="282"/>
      <c r="M261" s="282"/>
      <c r="N261" s="282"/>
      <c r="O261" s="271"/>
      <c r="P261" s="265"/>
      <c r="Q261" s="16">
        <v>2811027200</v>
      </c>
      <c r="R261" t="s">
        <v>688</v>
      </c>
      <c r="S261" s="343">
        <v>4.04</v>
      </c>
    </row>
    <row r="262" spans="2:20">
      <c r="B262" s="215">
        <v>2811007502</v>
      </c>
      <c r="E262" s="216">
        <f>VLOOKUP(B262,$Q$14:$S$1164,3,FALSE)</f>
        <v>9.52</v>
      </c>
      <c r="F262" s="216">
        <v>7.14</v>
      </c>
      <c r="G262" s="174" t="s">
        <v>1305</v>
      </c>
      <c r="H262" s="175" t="s">
        <v>21</v>
      </c>
      <c r="J262" s="49">
        <f>B262*$K$13</f>
        <v>2811007502</v>
      </c>
      <c r="K262" s="217">
        <f>VLOOKUP(J262,$Q$14:$S$1164,3,FALSE)</f>
        <v>9.52</v>
      </c>
      <c r="L262" s="282">
        <v>6.93</v>
      </c>
      <c r="M262" s="282">
        <f t="shared" si="73"/>
        <v>7.14</v>
      </c>
      <c r="N262" s="282">
        <f>K262*$N$13</f>
        <v>7.14</v>
      </c>
      <c r="O262" s="271"/>
      <c r="P262" s="265"/>
      <c r="Q262" s="16">
        <v>2811029800</v>
      </c>
      <c r="R262" t="s">
        <v>689</v>
      </c>
      <c r="S262" s="343">
        <v>16.260000000000002</v>
      </c>
    </row>
    <row r="263" spans="2:20">
      <c r="B263" s="215"/>
      <c r="E263" s="216"/>
      <c r="F263" s="216"/>
      <c r="K263" s="217"/>
      <c r="L263" s="282"/>
      <c r="M263" s="282"/>
      <c r="N263" s="282"/>
      <c r="O263" s="271"/>
      <c r="P263" s="265"/>
      <c r="Q263" s="16">
        <v>2811037200</v>
      </c>
      <c r="R263" t="s">
        <v>690</v>
      </c>
      <c r="S263" s="343">
        <v>3.8299999999999996</v>
      </c>
    </row>
    <row r="264" spans="2:20">
      <c r="B264" s="215">
        <v>2811100112</v>
      </c>
      <c r="C264" s="203"/>
      <c r="D264" s="218"/>
      <c r="E264" s="216">
        <f t="shared" ref="E264:E270" si="82">VLOOKUP(B264,$Q$14:$S$1164,3,FALSE)</f>
        <v>37.1</v>
      </c>
      <c r="F264" s="216">
        <v>27.83</v>
      </c>
      <c r="G264" s="174" t="s">
        <v>1306</v>
      </c>
      <c r="H264" s="175">
        <v>20</v>
      </c>
      <c r="J264" s="49">
        <f t="shared" ref="J264:J270" si="83">B264*$K$13</f>
        <v>2811100112</v>
      </c>
      <c r="K264" s="217">
        <f t="shared" ref="K264:K270" si="84">VLOOKUP(J264,$Q$14:$S$1164,3,FALSE)</f>
        <v>37.1</v>
      </c>
      <c r="L264" s="282">
        <v>27.83</v>
      </c>
      <c r="M264" s="282">
        <f t="shared" si="73"/>
        <v>27.83</v>
      </c>
      <c r="N264" s="282">
        <f t="shared" ref="N264:N270" si="85">K264*$N$13</f>
        <v>27.825000000000003</v>
      </c>
      <c r="O264" s="271"/>
      <c r="P264" s="265"/>
      <c r="Q264" s="16">
        <v>2811039800</v>
      </c>
      <c r="R264" t="s">
        <v>691</v>
      </c>
      <c r="S264" s="343">
        <v>2.71</v>
      </c>
    </row>
    <row r="265" spans="2:20">
      <c r="B265" s="215">
        <v>2811200112</v>
      </c>
      <c r="C265" s="203"/>
      <c r="D265" s="230"/>
      <c r="E265" s="216">
        <f t="shared" si="82"/>
        <v>40.380000000000003</v>
      </c>
      <c r="F265" s="216">
        <v>30.29</v>
      </c>
      <c r="G265" s="174" t="s">
        <v>755</v>
      </c>
      <c r="H265" s="175" t="s">
        <v>1307</v>
      </c>
      <c r="J265" s="49">
        <f t="shared" si="83"/>
        <v>2811200112</v>
      </c>
      <c r="K265" s="217">
        <f t="shared" si="84"/>
        <v>40.380000000000003</v>
      </c>
      <c r="L265" s="282">
        <v>30.29</v>
      </c>
      <c r="M265" s="282">
        <f t="shared" si="73"/>
        <v>30.29</v>
      </c>
      <c r="N265" s="282">
        <f t="shared" si="85"/>
        <v>30.285000000000004</v>
      </c>
      <c r="O265" s="271"/>
      <c r="P265" s="265"/>
      <c r="Q265" s="16">
        <v>2811049800</v>
      </c>
      <c r="R265" t="s">
        <v>692</v>
      </c>
      <c r="S265" s="343">
        <v>4</v>
      </c>
    </row>
    <row r="266" spans="2:20">
      <c r="B266" s="215">
        <v>2811400112</v>
      </c>
      <c r="C266" s="203"/>
      <c r="D266" s="230"/>
      <c r="E266" s="216">
        <f t="shared" si="82"/>
        <v>71.34</v>
      </c>
      <c r="F266" s="216">
        <v>53.51</v>
      </c>
      <c r="G266" s="174" t="s">
        <v>806</v>
      </c>
      <c r="H266" s="175" t="s">
        <v>1307</v>
      </c>
      <c r="J266" s="49">
        <f t="shared" si="83"/>
        <v>2811400112</v>
      </c>
      <c r="K266" s="217">
        <f t="shared" si="84"/>
        <v>71.34</v>
      </c>
      <c r="L266" s="282">
        <v>53.51</v>
      </c>
      <c r="M266" s="282">
        <f t="shared" si="73"/>
        <v>53.51</v>
      </c>
      <c r="N266" s="282">
        <f t="shared" si="85"/>
        <v>53.505000000000003</v>
      </c>
      <c r="O266" s="271"/>
      <c r="P266" s="261"/>
      <c r="Q266" s="16">
        <v>2811059800</v>
      </c>
      <c r="R266" t="s">
        <v>693</v>
      </c>
      <c r="S266" s="343">
        <v>5.43</v>
      </c>
    </row>
    <row r="267" spans="2:20">
      <c r="B267" s="215">
        <v>2811500112</v>
      </c>
      <c r="C267" s="203"/>
      <c r="D267" s="230"/>
      <c r="E267" s="216">
        <f t="shared" si="82"/>
        <v>108.81</v>
      </c>
      <c r="F267" s="216">
        <v>81.61</v>
      </c>
      <c r="G267" s="174" t="s">
        <v>844</v>
      </c>
      <c r="H267" s="175" t="s">
        <v>1307</v>
      </c>
      <c r="J267" s="49">
        <f t="shared" si="83"/>
        <v>2811500112</v>
      </c>
      <c r="K267" s="217">
        <f t="shared" si="84"/>
        <v>108.81</v>
      </c>
      <c r="L267" s="282">
        <v>81.61</v>
      </c>
      <c r="M267" s="282">
        <f t="shared" si="73"/>
        <v>81.61</v>
      </c>
      <c r="N267" s="282">
        <f t="shared" si="85"/>
        <v>81.607500000000002</v>
      </c>
      <c r="O267" s="271"/>
      <c r="P267" s="261"/>
      <c r="Q267" s="16">
        <v>2811085612</v>
      </c>
      <c r="R267" t="s">
        <v>694</v>
      </c>
      <c r="S267" s="343">
        <v>384.88</v>
      </c>
    </row>
    <row r="268" spans="2:20">
      <c r="B268" s="215">
        <v>2811406510</v>
      </c>
      <c r="C268" s="203"/>
      <c r="D268" s="218"/>
      <c r="E268" s="216">
        <f t="shared" si="82"/>
        <v>34.119999999999997</v>
      </c>
      <c r="F268" s="216">
        <v>25.59</v>
      </c>
      <c r="G268" s="174" t="s">
        <v>1308</v>
      </c>
      <c r="H268" s="175" t="s">
        <v>1307</v>
      </c>
      <c r="J268" s="49">
        <f t="shared" si="83"/>
        <v>2811406510</v>
      </c>
      <c r="K268" s="217">
        <f t="shared" si="84"/>
        <v>34.119999999999997</v>
      </c>
      <c r="L268" s="282">
        <v>24.84</v>
      </c>
      <c r="M268" s="282">
        <f t="shared" si="73"/>
        <v>25.59</v>
      </c>
      <c r="N268" s="282">
        <f t="shared" si="85"/>
        <v>25.589999999999996</v>
      </c>
      <c r="O268" s="271"/>
      <c r="P268" s="261"/>
      <c r="Q268" s="16">
        <v>2811085825</v>
      </c>
      <c r="R268" t="s">
        <v>695</v>
      </c>
      <c r="S268" s="343">
        <v>130.96</v>
      </c>
    </row>
    <row r="269" spans="2:20">
      <c r="B269" s="215">
        <v>2811606510</v>
      </c>
      <c r="C269" s="203"/>
      <c r="D269" s="218"/>
      <c r="E269" s="216">
        <f t="shared" si="82"/>
        <v>17.330000000000002</v>
      </c>
      <c r="F269" s="216">
        <v>13</v>
      </c>
      <c r="G269" s="174" t="s">
        <v>1308</v>
      </c>
      <c r="H269" s="175" t="s">
        <v>1307</v>
      </c>
      <c r="J269" s="49">
        <f t="shared" si="83"/>
        <v>2811606510</v>
      </c>
      <c r="K269" s="217">
        <f t="shared" si="84"/>
        <v>17.330000000000002</v>
      </c>
      <c r="L269" s="282">
        <v>12.61</v>
      </c>
      <c r="M269" s="282">
        <f t="shared" si="73"/>
        <v>13</v>
      </c>
      <c r="N269" s="282">
        <f t="shared" si="85"/>
        <v>12.997500000000002</v>
      </c>
      <c r="O269" s="271"/>
      <c r="P269" s="261"/>
      <c r="Q269" s="16">
        <v>2811085850</v>
      </c>
      <c r="R269" t="s">
        <v>696</v>
      </c>
      <c r="S269" s="343">
        <v>260.24</v>
      </c>
    </row>
    <row r="270" spans="2:20">
      <c r="B270" s="215">
        <v>2811206510</v>
      </c>
      <c r="C270" s="203"/>
      <c r="D270" s="218"/>
      <c r="E270" s="216">
        <f t="shared" si="82"/>
        <v>43.239999999999995</v>
      </c>
      <c r="F270" s="216">
        <v>32.43</v>
      </c>
      <c r="G270" s="174" t="s">
        <v>1310</v>
      </c>
      <c r="H270" s="175" t="s">
        <v>1307</v>
      </c>
      <c r="J270" s="49">
        <f t="shared" si="83"/>
        <v>2811206510</v>
      </c>
      <c r="K270" s="217">
        <f t="shared" si="84"/>
        <v>43.239999999999995</v>
      </c>
      <c r="L270" s="282">
        <v>31.48</v>
      </c>
      <c r="M270" s="282">
        <f t="shared" si="73"/>
        <v>32.43</v>
      </c>
      <c r="N270" s="282">
        <f t="shared" si="85"/>
        <v>32.429999999999993</v>
      </c>
      <c r="O270" s="271"/>
      <c r="P270" s="261"/>
      <c r="Q270" s="16">
        <v>2811085899</v>
      </c>
      <c r="R270" t="s">
        <v>697</v>
      </c>
      <c r="S270" s="343">
        <v>492.23</v>
      </c>
    </row>
    <row r="271" spans="2:20">
      <c r="E271" s="216"/>
      <c r="F271" s="216"/>
      <c r="G271" s="49"/>
      <c r="H271" s="49"/>
      <c r="K271" s="217"/>
      <c r="L271" s="282"/>
      <c r="M271" s="282"/>
      <c r="N271" s="282"/>
      <c r="O271" s="271"/>
      <c r="P271" s="261"/>
      <c r="Q271" s="16">
        <v>2811085925</v>
      </c>
      <c r="R271" t="s">
        <v>698</v>
      </c>
      <c r="S271" s="343">
        <v>192.03</v>
      </c>
    </row>
    <row r="272" spans="2:20">
      <c r="B272" s="215">
        <v>1310073618</v>
      </c>
      <c r="C272" s="203"/>
      <c r="D272" s="218"/>
      <c r="E272" s="216">
        <f t="shared" ref="E272:E295" si="86">VLOOKUP(B272,$Q$14:$S$1164,3,FALSE)</f>
        <v>7.42</v>
      </c>
      <c r="F272" s="216">
        <v>5.57</v>
      </c>
      <c r="G272" s="174" t="s">
        <v>1311</v>
      </c>
      <c r="H272" s="175" t="s">
        <v>1312</v>
      </c>
      <c r="J272" s="49">
        <f t="shared" ref="J272:J295" si="87">B272*$K$13</f>
        <v>1310073618</v>
      </c>
      <c r="K272" s="217">
        <f t="shared" ref="K272:K304" si="88">VLOOKUP(J272,$Q$14:$S$1164,3,FALSE)</f>
        <v>7.42</v>
      </c>
      <c r="L272" s="282">
        <v>5.57</v>
      </c>
      <c r="M272" s="282">
        <f t="shared" si="73"/>
        <v>5.57</v>
      </c>
      <c r="N272" s="282">
        <f t="shared" ref="N272:N295" si="89">K272*$N$13</f>
        <v>5.5649999999999995</v>
      </c>
      <c r="O272" s="271"/>
      <c r="P272" s="261"/>
      <c r="Q272" s="16">
        <v>2811085950</v>
      </c>
      <c r="R272" t="s">
        <v>699</v>
      </c>
      <c r="S272" s="343">
        <v>383.69</v>
      </c>
    </row>
    <row r="273" spans="2:19">
      <c r="B273" s="215">
        <v>1310074250</v>
      </c>
      <c r="C273" s="203"/>
      <c r="D273" s="218"/>
      <c r="E273" s="216">
        <f t="shared" si="86"/>
        <v>2.85</v>
      </c>
      <c r="F273" s="216">
        <v>2.14</v>
      </c>
      <c r="G273" s="174" t="s">
        <v>1313</v>
      </c>
      <c r="H273" s="175" t="s">
        <v>1312</v>
      </c>
      <c r="J273" s="49">
        <f t="shared" si="87"/>
        <v>1310074250</v>
      </c>
      <c r="K273" s="217">
        <f t="shared" si="88"/>
        <v>2.85</v>
      </c>
      <c r="L273" s="282">
        <v>2.78</v>
      </c>
      <c r="M273" s="282">
        <f t="shared" si="73"/>
        <v>2.14</v>
      </c>
      <c r="N273" s="282">
        <f t="shared" si="89"/>
        <v>2.1375000000000002</v>
      </c>
      <c r="O273" s="271"/>
      <c r="P273" s="261"/>
      <c r="Q273" s="16">
        <v>2811085999</v>
      </c>
      <c r="R273" t="s">
        <v>700</v>
      </c>
      <c r="S273" s="343">
        <v>699.14</v>
      </c>
    </row>
    <row r="274" spans="2:19">
      <c r="B274" s="215">
        <v>1310074413</v>
      </c>
      <c r="C274" s="203"/>
      <c r="D274" s="218"/>
      <c r="E274" s="216">
        <f t="shared" si="86"/>
        <v>7.2</v>
      </c>
      <c r="F274" s="216">
        <v>5.4</v>
      </c>
      <c r="G274" s="174" t="s">
        <v>1314</v>
      </c>
      <c r="H274" s="175" t="s">
        <v>1312</v>
      </c>
      <c r="J274" s="49">
        <f t="shared" si="87"/>
        <v>1310074413</v>
      </c>
      <c r="K274" s="217">
        <f t="shared" si="88"/>
        <v>7.2</v>
      </c>
      <c r="L274" s="282">
        <v>4.95</v>
      </c>
      <c r="M274" s="282">
        <f t="shared" si="73"/>
        <v>5.4</v>
      </c>
      <c r="N274" s="282">
        <f t="shared" si="89"/>
        <v>5.4</v>
      </c>
      <c r="O274" s="271"/>
      <c r="P274" s="261"/>
      <c r="Q274" s="16">
        <v>2811100000</v>
      </c>
      <c r="R274" t="s">
        <v>701</v>
      </c>
      <c r="S274" s="349">
        <v>70.440000000000012</v>
      </c>
    </row>
    <row r="275" spans="2:19">
      <c r="B275" s="215">
        <v>2810003005</v>
      </c>
      <c r="C275" s="203"/>
      <c r="D275" s="218"/>
      <c r="E275" s="216">
        <f t="shared" si="86"/>
        <v>141.25</v>
      </c>
      <c r="F275" s="216">
        <v>105.94</v>
      </c>
      <c r="G275" s="174" t="s">
        <v>375</v>
      </c>
      <c r="H275" s="175" t="s">
        <v>1312</v>
      </c>
      <c r="J275" s="49">
        <f t="shared" si="87"/>
        <v>2810003005</v>
      </c>
      <c r="K275" s="217">
        <f t="shared" si="88"/>
        <v>141.25</v>
      </c>
      <c r="L275" s="282">
        <v>109.46</v>
      </c>
      <c r="M275" s="282">
        <f t="shared" si="73"/>
        <v>105.94</v>
      </c>
      <c r="N275" s="282">
        <f t="shared" si="89"/>
        <v>105.9375</v>
      </c>
      <c r="O275" s="271"/>
      <c r="P275" s="261"/>
      <c r="Q275" s="16">
        <v>2811100112</v>
      </c>
      <c r="R275" t="s">
        <v>702</v>
      </c>
      <c r="S275" s="343">
        <v>37.1</v>
      </c>
    </row>
    <row r="276" spans="2:19">
      <c r="B276" s="215">
        <v>2810003205</v>
      </c>
      <c r="C276" s="203"/>
      <c r="D276" s="218"/>
      <c r="E276" s="216">
        <f t="shared" si="86"/>
        <v>128.82</v>
      </c>
      <c r="F276" s="216">
        <v>96.62</v>
      </c>
      <c r="G276" s="174" t="s">
        <v>177</v>
      </c>
      <c r="H276" s="175" t="s">
        <v>1312</v>
      </c>
      <c r="J276" s="49">
        <f t="shared" si="87"/>
        <v>2810003205</v>
      </c>
      <c r="K276" s="217">
        <f t="shared" si="88"/>
        <v>128.82</v>
      </c>
      <c r="L276" s="282">
        <v>99.83</v>
      </c>
      <c r="M276" s="282">
        <f t="shared" si="73"/>
        <v>96.62</v>
      </c>
      <c r="N276" s="282">
        <f t="shared" si="89"/>
        <v>96.614999999999995</v>
      </c>
      <c r="O276" s="271"/>
      <c r="P276" s="261"/>
      <c r="Q276" s="16">
        <v>2811100280</v>
      </c>
      <c r="R276" t="s">
        <v>703</v>
      </c>
      <c r="S276" s="349">
        <v>23.770000000000003</v>
      </c>
    </row>
    <row r="277" spans="2:19">
      <c r="B277" s="215">
        <v>2810013200</v>
      </c>
      <c r="C277" s="203"/>
      <c r="D277" s="218"/>
      <c r="E277" s="216">
        <f t="shared" si="86"/>
        <v>35.909999999999997</v>
      </c>
      <c r="F277" s="216">
        <v>26.93</v>
      </c>
      <c r="G277" s="174" t="s">
        <v>177</v>
      </c>
      <c r="H277" s="175" t="s">
        <v>1312</v>
      </c>
      <c r="J277" s="49">
        <f t="shared" si="87"/>
        <v>2810013200</v>
      </c>
      <c r="K277" s="217">
        <f t="shared" si="88"/>
        <v>35.909999999999997</v>
      </c>
      <c r="L277" s="282">
        <v>27.82</v>
      </c>
      <c r="M277" s="282">
        <f t="shared" si="73"/>
        <v>26.93</v>
      </c>
      <c r="N277" s="282">
        <f t="shared" si="89"/>
        <v>26.932499999999997</v>
      </c>
      <c r="O277" s="271"/>
      <c r="P277" s="261"/>
      <c r="Q277" s="16">
        <v>2811100290</v>
      </c>
      <c r="R277" t="s">
        <v>704</v>
      </c>
      <c r="S277" s="343">
        <v>72.600000000000009</v>
      </c>
    </row>
    <row r="278" spans="2:19">
      <c r="B278" s="215">
        <v>2810003105</v>
      </c>
      <c r="C278" s="203"/>
      <c r="D278" s="218"/>
      <c r="E278" s="216">
        <f t="shared" si="86"/>
        <v>132.48999999999998</v>
      </c>
      <c r="F278" s="216">
        <v>99.37</v>
      </c>
      <c r="G278" s="174" t="s">
        <v>177</v>
      </c>
      <c r="H278" s="175" t="s">
        <v>1312</v>
      </c>
      <c r="J278" s="49">
        <f t="shared" si="87"/>
        <v>2810003105</v>
      </c>
      <c r="K278" s="217">
        <f t="shared" si="88"/>
        <v>132.48999999999998</v>
      </c>
      <c r="L278" s="282">
        <v>102.67</v>
      </c>
      <c r="M278" s="282">
        <f t="shared" si="73"/>
        <v>99.37</v>
      </c>
      <c r="N278" s="282">
        <f t="shared" si="89"/>
        <v>99.367499999999978</v>
      </c>
      <c r="O278" s="271"/>
      <c r="P278" s="265"/>
      <c r="Q278" s="16">
        <v>2811100380</v>
      </c>
      <c r="R278" t="s">
        <v>705</v>
      </c>
      <c r="S278" s="349">
        <v>29.71</v>
      </c>
    </row>
    <row r="279" spans="2:19">
      <c r="B279" s="215">
        <v>2810003310</v>
      </c>
      <c r="C279" s="203"/>
      <c r="D279" s="218"/>
      <c r="E279" s="216">
        <f t="shared" si="86"/>
        <v>23.44</v>
      </c>
      <c r="F279" s="216">
        <v>17.579999999999998</v>
      </c>
      <c r="G279" s="174" t="s">
        <v>376</v>
      </c>
      <c r="H279" s="175" t="s">
        <v>1312</v>
      </c>
      <c r="J279" s="49">
        <f t="shared" si="87"/>
        <v>2810003310</v>
      </c>
      <c r="K279" s="217">
        <f t="shared" si="88"/>
        <v>23.44</v>
      </c>
      <c r="L279" s="282">
        <v>18.16</v>
      </c>
      <c r="M279" s="282">
        <f t="shared" si="73"/>
        <v>17.579999999999998</v>
      </c>
      <c r="N279" s="282">
        <f t="shared" si="89"/>
        <v>17.580000000000002</v>
      </c>
      <c r="O279" s="271"/>
      <c r="P279" s="261"/>
      <c r="Q279" s="16">
        <v>2811100390</v>
      </c>
      <c r="R279" t="s">
        <v>706</v>
      </c>
      <c r="S279" s="343">
        <v>42.15</v>
      </c>
    </row>
    <row r="280" spans="2:19">
      <c r="B280" s="215">
        <v>2810013310</v>
      </c>
      <c r="C280" s="203"/>
      <c r="D280" s="218"/>
      <c r="E280" s="216">
        <f t="shared" si="86"/>
        <v>24.37</v>
      </c>
      <c r="F280" s="216">
        <v>18.28</v>
      </c>
      <c r="G280" s="174" t="s">
        <v>376</v>
      </c>
      <c r="H280" s="175" t="s">
        <v>1312</v>
      </c>
      <c r="J280" s="49">
        <f t="shared" si="87"/>
        <v>2810013310</v>
      </c>
      <c r="K280" s="217">
        <f t="shared" si="88"/>
        <v>24.37</v>
      </c>
      <c r="L280" s="282">
        <v>16.96</v>
      </c>
      <c r="M280" s="282">
        <f t="shared" si="73"/>
        <v>18.28</v>
      </c>
      <c r="N280" s="282">
        <f t="shared" si="89"/>
        <v>18.2775</v>
      </c>
      <c r="O280" s="271"/>
      <c r="P280" s="261"/>
      <c r="Q280" s="16">
        <v>2811100480</v>
      </c>
      <c r="R280" t="s">
        <v>707</v>
      </c>
      <c r="S280" s="349">
        <v>42.79</v>
      </c>
    </row>
    <row r="281" spans="2:19">
      <c r="B281" s="215">
        <v>2810033310</v>
      </c>
      <c r="C281" s="203"/>
      <c r="D281" s="218"/>
      <c r="E281" s="216">
        <f t="shared" si="86"/>
        <v>27.5</v>
      </c>
      <c r="F281" s="216">
        <v>20.63</v>
      </c>
      <c r="G281" s="174" t="s">
        <v>376</v>
      </c>
      <c r="H281" s="175" t="s">
        <v>1312</v>
      </c>
      <c r="J281" s="49">
        <f t="shared" si="87"/>
        <v>2810033310</v>
      </c>
      <c r="K281" s="217">
        <f t="shared" si="88"/>
        <v>27.5</v>
      </c>
      <c r="L281" s="282">
        <v>21.31</v>
      </c>
      <c r="M281" s="282">
        <f t="shared" si="73"/>
        <v>20.63</v>
      </c>
      <c r="N281" s="282">
        <f t="shared" si="89"/>
        <v>20.625</v>
      </c>
      <c r="O281" s="271"/>
      <c r="P281" s="261"/>
      <c r="Q281" s="16">
        <v>2811100490</v>
      </c>
      <c r="R281" t="s">
        <v>708</v>
      </c>
      <c r="S281" s="343">
        <v>147.69</v>
      </c>
    </row>
    <row r="282" spans="2:19">
      <c r="B282" s="215">
        <v>2810003410</v>
      </c>
      <c r="C282" s="203"/>
      <c r="D282" s="218"/>
      <c r="E282" s="216">
        <f t="shared" si="86"/>
        <v>13.49</v>
      </c>
      <c r="F282" s="216">
        <v>10.119999999999999</v>
      </c>
      <c r="G282" s="174" t="s">
        <v>181</v>
      </c>
      <c r="H282" s="175" t="s">
        <v>1312</v>
      </c>
      <c r="J282" s="49">
        <f t="shared" si="87"/>
        <v>2810003410</v>
      </c>
      <c r="K282" s="217">
        <f t="shared" si="88"/>
        <v>13.49</v>
      </c>
      <c r="L282" s="282">
        <v>10.45</v>
      </c>
      <c r="M282" s="282">
        <f t="shared" si="73"/>
        <v>10.119999999999999</v>
      </c>
      <c r="N282" s="282">
        <f t="shared" si="89"/>
        <v>10.1175</v>
      </c>
      <c r="O282" s="271"/>
      <c r="P282" s="261"/>
      <c r="Q282" s="16">
        <v>2811100580</v>
      </c>
      <c r="R282" t="s">
        <v>709</v>
      </c>
      <c r="S282" s="349">
        <v>36.229999999999997</v>
      </c>
    </row>
    <row r="283" spans="2:19">
      <c r="B283" s="215">
        <v>2810003510</v>
      </c>
      <c r="C283" s="203"/>
      <c r="D283" s="218"/>
      <c r="E283" s="216">
        <f t="shared" si="86"/>
        <v>64.100000000000009</v>
      </c>
      <c r="F283" s="216">
        <v>48.08</v>
      </c>
      <c r="G283" s="174" t="s">
        <v>377</v>
      </c>
      <c r="H283" s="175" t="s">
        <v>1312</v>
      </c>
      <c r="J283" s="49">
        <f t="shared" si="87"/>
        <v>2810003510</v>
      </c>
      <c r="K283" s="217">
        <f t="shared" si="88"/>
        <v>64.100000000000009</v>
      </c>
      <c r="L283" s="282">
        <v>49.69</v>
      </c>
      <c r="M283" s="282">
        <f t="shared" si="73"/>
        <v>48.08</v>
      </c>
      <c r="N283" s="282">
        <f t="shared" si="89"/>
        <v>48.075000000000003</v>
      </c>
      <c r="O283" s="271"/>
      <c r="P283" s="261"/>
      <c r="Q283" s="16">
        <v>2811100590</v>
      </c>
      <c r="R283" t="s">
        <v>710</v>
      </c>
      <c r="S283" s="343">
        <v>102.03</v>
      </c>
    </row>
    <row r="284" spans="2:19">
      <c r="B284" s="215">
        <v>2810013510</v>
      </c>
      <c r="C284" s="203"/>
      <c r="D284" s="218"/>
      <c r="E284" s="216">
        <f t="shared" si="86"/>
        <v>55.51</v>
      </c>
      <c r="F284" s="216">
        <v>41.63</v>
      </c>
      <c r="G284" s="174" t="s">
        <v>377</v>
      </c>
      <c r="H284" s="175" t="s">
        <v>1312</v>
      </c>
      <c r="J284" s="49">
        <f t="shared" si="87"/>
        <v>2810013510</v>
      </c>
      <c r="K284" s="217">
        <f t="shared" si="88"/>
        <v>55.51</v>
      </c>
      <c r="L284" s="282">
        <v>43.01</v>
      </c>
      <c r="M284" s="282">
        <f t="shared" si="73"/>
        <v>41.63</v>
      </c>
      <c r="N284" s="282">
        <f t="shared" si="89"/>
        <v>41.6325</v>
      </c>
      <c r="O284" s="271"/>
      <c r="P284" s="261"/>
      <c r="Q284" s="16">
        <v>2811100680</v>
      </c>
      <c r="R284" t="s">
        <v>711</v>
      </c>
      <c r="S284" s="349">
        <v>28.53</v>
      </c>
    </row>
    <row r="285" spans="2:19">
      <c r="B285" s="215">
        <v>2810023510</v>
      </c>
      <c r="C285" s="203"/>
      <c r="D285" s="218"/>
      <c r="E285" s="216">
        <f t="shared" si="86"/>
        <v>58.87</v>
      </c>
      <c r="F285" s="216">
        <v>44.15</v>
      </c>
      <c r="G285" s="174" t="s">
        <v>377</v>
      </c>
      <c r="H285" s="175" t="s">
        <v>1312</v>
      </c>
      <c r="J285" s="49">
        <f t="shared" si="87"/>
        <v>2810023510</v>
      </c>
      <c r="K285" s="217">
        <f t="shared" si="88"/>
        <v>58.87</v>
      </c>
      <c r="L285" s="282">
        <v>45.62</v>
      </c>
      <c r="M285" s="282">
        <f t="shared" si="73"/>
        <v>44.15</v>
      </c>
      <c r="N285" s="282">
        <f t="shared" si="89"/>
        <v>44.152499999999996</v>
      </c>
      <c r="O285" s="271"/>
      <c r="P285" s="261"/>
      <c r="Q285" s="16">
        <v>2811100880</v>
      </c>
      <c r="R285" t="s">
        <v>712</v>
      </c>
      <c r="S285" s="343">
        <v>98.39</v>
      </c>
    </row>
    <row r="286" spans="2:19">
      <c r="B286" s="215">
        <v>2810033510</v>
      </c>
      <c r="C286" s="203"/>
      <c r="D286" s="218"/>
      <c r="E286" s="216">
        <f t="shared" si="86"/>
        <v>60.53</v>
      </c>
      <c r="F286" s="216">
        <v>45.4</v>
      </c>
      <c r="G286" s="174" t="s">
        <v>377</v>
      </c>
      <c r="H286" s="175" t="s">
        <v>1312</v>
      </c>
      <c r="J286" s="49">
        <f t="shared" si="87"/>
        <v>2810033510</v>
      </c>
      <c r="K286" s="217">
        <f t="shared" si="88"/>
        <v>60.53</v>
      </c>
      <c r="L286" s="282">
        <v>46.91</v>
      </c>
      <c r="M286" s="282">
        <f t="shared" si="73"/>
        <v>45.4</v>
      </c>
      <c r="N286" s="282">
        <f t="shared" si="89"/>
        <v>45.397500000000001</v>
      </c>
      <c r="O286" s="271"/>
      <c r="P286" s="261"/>
      <c r="Q286" s="16">
        <v>2811100980</v>
      </c>
      <c r="R286" t="s">
        <v>713</v>
      </c>
      <c r="S286" s="343">
        <v>82.710000000000008</v>
      </c>
    </row>
    <row r="287" spans="2:19">
      <c r="B287" s="215">
        <v>2810003610</v>
      </c>
      <c r="C287" s="203"/>
      <c r="D287" s="218"/>
      <c r="E287" s="216">
        <f t="shared" si="86"/>
        <v>103.32000000000001</v>
      </c>
      <c r="F287" s="216">
        <v>77.489999999999995</v>
      </c>
      <c r="G287" s="174" t="s">
        <v>175</v>
      </c>
      <c r="H287" s="175" t="s">
        <v>1312</v>
      </c>
      <c r="J287" s="49">
        <f t="shared" si="87"/>
        <v>2810003610</v>
      </c>
      <c r="K287" s="217">
        <f t="shared" si="88"/>
        <v>103.32000000000001</v>
      </c>
      <c r="L287" s="282">
        <v>80.069999999999993</v>
      </c>
      <c r="M287" s="282">
        <f t="shared" ref="M287:M356" si="90">ROUND(N287,2)</f>
        <v>77.489999999999995</v>
      </c>
      <c r="N287" s="282">
        <f t="shared" si="89"/>
        <v>77.490000000000009</v>
      </c>
      <c r="O287" s="271"/>
      <c r="P287" s="261"/>
      <c r="Q287" s="16">
        <v>2811101780</v>
      </c>
      <c r="R287" t="s">
        <v>714</v>
      </c>
      <c r="S287" s="343">
        <v>38.35</v>
      </c>
    </row>
    <row r="288" spans="2:19">
      <c r="B288" s="215">
        <v>1310074482</v>
      </c>
      <c r="C288" s="203"/>
      <c r="D288" s="218"/>
      <c r="E288" s="216">
        <f t="shared" si="86"/>
        <v>8.75</v>
      </c>
      <c r="F288" s="216">
        <v>6.56</v>
      </c>
      <c r="G288" s="174" t="s">
        <v>175</v>
      </c>
      <c r="H288" s="175" t="s">
        <v>1312</v>
      </c>
      <c r="J288" s="49">
        <f t="shared" si="87"/>
        <v>1310074482</v>
      </c>
      <c r="K288" s="217">
        <f t="shared" si="88"/>
        <v>8.75</v>
      </c>
      <c r="L288" s="282">
        <v>4.9400000000000004</v>
      </c>
      <c r="M288" s="282">
        <f t="shared" si="90"/>
        <v>6.56</v>
      </c>
      <c r="N288" s="282">
        <f t="shared" si="89"/>
        <v>6.5625</v>
      </c>
      <c r="O288" s="271"/>
      <c r="P288" s="261"/>
      <c r="Q288" s="16">
        <v>2811101880</v>
      </c>
      <c r="R288" t="s">
        <v>715</v>
      </c>
      <c r="S288" s="349">
        <v>34.33</v>
      </c>
    </row>
    <row r="289" spans="1:20">
      <c r="B289" s="215">
        <v>1310074483</v>
      </c>
      <c r="C289" s="203"/>
      <c r="D289" s="218"/>
      <c r="E289" s="216">
        <f t="shared" si="86"/>
        <v>12.36</v>
      </c>
      <c r="F289" s="216">
        <v>9.27</v>
      </c>
      <c r="G289" s="174" t="s">
        <v>175</v>
      </c>
      <c r="H289" s="175" t="s">
        <v>1312</v>
      </c>
      <c r="J289" s="49">
        <f t="shared" si="87"/>
        <v>1310074483</v>
      </c>
      <c r="K289" s="217">
        <f t="shared" si="88"/>
        <v>12.36</v>
      </c>
      <c r="L289" s="282">
        <v>6.97</v>
      </c>
      <c r="M289" s="282">
        <f t="shared" si="90"/>
        <v>9.27</v>
      </c>
      <c r="N289" s="282">
        <f t="shared" si="89"/>
        <v>9.27</v>
      </c>
      <c r="O289" s="271"/>
      <c r="P289" s="261"/>
      <c r="Q289" s="16">
        <v>2811101980</v>
      </c>
      <c r="R289" t="s">
        <v>716</v>
      </c>
      <c r="S289" s="343">
        <v>27.150000000000002</v>
      </c>
    </row>
    <row r="290" spans="1:20">
      <c r="B290" s="215">
        <v>2810003710</v>
      </c>
      <c r="C290" s="203"/>
      <c r="D290" s="218"/>
      <c r="E290" s="216">
        <f t="shared" si="86"/>
        <v>130.01</v>
      </c>
      <c r="F290" s="216">
        <v>97.51</v>
      </c>
      <c r="G290" s="174" t="s">
        <v>378</v>
      </c>
      <c r="H290" s="175" t="s">
        <v>1312</v>
      </c>
      <c r="J290" s="49">
        <f t="shared" si="87"/>
        <v>2810003710</v>
      </c>
      <c r="K290" s="217">
        <f t="shared" si="88"/>
        <v>130.01</v>
      </c>
      <c r="L290" s="282">
        <v>100.75</v>
      </c>
      <c r="M290" s="282">
        <f t="shared" si="90"/>
        <v>97.51</v>
      </c>
      <c r="N290" s="282">
        <f t="shared" si="89"/>
        <v>97.507499999999993</v>
      </c>
      <c r="O290" s="271"/>
      <c r="P290" s="261"/>
      <c r="Q290" s="16">
        <v>2811102080</v>
      </c>
      <c r="R290" t="s">
        <v>717</v>
      </c>
      <c r="S290" s="343">
        <v>51.36</v>
      </c>
    </row>
    <row r="291" spans="1:20">
      <c r="B291" s="215">
        <v>2810003810</v>
      </c>
      <c r="C291" s="203"/>
      <c r="D291" s="218"/>
      <c r="E291" s="216">
        <f t="shared" si="86"/>
        <v>66.240000000000009</v>
      </c>
      <c r="F291" s="216">
        <v>49.68</v>
      </c>
      <c r="G291" s="174" t="s">
        <v>379</v>
      </c>
      <c r="H291" s="175" t="s">
        <v>1312</v>
      </c>
      <c r="J291" s="49">
        <f t="shared" si="87"/>
        <v>2810003810</v>
      </c>
      <c r="K291" s="217">
        <f t="shared" si="88"/>
        <v>66.240000000000009</v>
      </c>
      <c r="L291" s="282">
        <v>51.34</v>
      </c>
      <c r="M291" s="282">
        <f t="shared" si="90"/>
        <v>49.68</v>
      </c>
      <c r="N291" s="282">
        <f t="shared" si="89"/>
        <v>49.680000000000007</v>
      </c>
      <c r="O291" s="271"/>
      <c r="P291" s="261"/>
      <c r="Q291" s="16">
        <v>2811102220</v>
      </c>
      <c r="R291" t="s">
        <v>718</v>
      </c>
      <c r="S291" s="343">
        <v>51.14</v>
      </c>
    </row>
    <row r="292" spans="1:20">
      <c r="B292" s="215">
        <v>2810013810</v>
      </c>
      <c r="C292" s="203"/>
      <c r="D292" s="218"/>
      <c r="E292" s="216">
        <f t="shared" si="86"/>
        <v>131.19</v>
      </c>
      <c r="F292" s="216">
        <v>98.39</v>
      </c>
      <c r="G292" s="174" t="s">
        <v>379</v>
      </c>
      <c r="H292" s="175" t="s">
        <v>1312</v>
      </c>
      <c r="J292" s="49">
        <f t="shared" si="87"/>
        <v>2810013810</v>
      </c>
      <c r="K292" s="217">
        <f t="shared" si="88"/>
        <v>131.19</v>
      </c>
      <c r="L292" s="282">
        <v>101.66</v>
      </c>
      <c r="M292" s="282">
        <f t="shared" si="90"/>
        <v>98.39</v>
      </c>
      <c r="N292" s="282">
        <f t="shared" si="89"/>
        <v>98.392499999999998</v>
      </c>
      <c r="O292" s="271"/>
      <c r="P292" s="261"/>
      <c r="Q292" s="16">
        <v>2811102380</v>
      </c>
      <c r="R292" t="s">
        <v>719</v>
      </c>
      <c r="S292" s="343">
        <v>39.39</v>
      </c>
    </row>
    <row r="293" spans="1:20">
      <c r="B293" s="215">
        <v>2810003910</v>
      </c>
      <c r="C293" s="203"/>
      <c r="D293" s="218"/>
      <c r="E293" s="216">
        <f t="shared" si="86"/>
        <v>38.82</v>
      </c>
      <c r="F293" s="216">
        <v>29.12</v>
      </c>
      <c r="G293" s="174" t="s">
        <v>380</v>
      </c>
      <c r="H293" s="175" t="s">
        <v>1312</v>
      </c>
      <c r="J293" s="49">
        <f t="shared" si="87"/>
        <v>2810003910</v>
      </c>
      <c r="K293" s="217">
        <f t="shared" si="88"/>
        <v>38.82</v>
      </c>
      <c r="L293" s="282">
        <v>30.08</v>
      </c>
      <c r="M293" s="282">
        <f t="shared" si="90"/>
        <v>29.12</v>
      </c>
      <c r="N293" s="282">
        <f t="shared" si="89"/>
        <v>29.115000000000002</v>
      </c>
      <c r="O293" s="271"/>
      <c r="P293" s="261"/>
      <c r="Q293" s="16">
        <v>2811102480</v>
      </c>
      <c r="R293" t="s">
        <v>720</v>
      </c>
      <c r="S293" s="349">
        <v>43.809999999999995</v>
      </c>
    </row>
    <row r="294" spans="1:20">
      <c r="A294" s="193"/>
      <c r="B294" s="215">
        <v>2810025005</v>
      </c>
      <c r="C294" s="203"/>
      <c r="D294" s="218"/>
      <c r="E294" s="216">
        <f t="shared" si="86"/>
        <v>97.97</v>
      </c>
      <c r="F294" s="216">
        <v>73.48</v>
      </c>
      <c r="G294" s="174" t="s">
        <v>381</v>
      </c>
      <c r="H294" s="175" t="s">
        <v>1312</v>
      </c>
      <c r="J294" s="49">
        <f t="shared" si="87"/>
        <v>2810025005</v>
      </c>
      <c r="K294" s="217">
        <f t="shared" si="88"/>
        <v>97.97</v>
      </c>
      <c r="L294" s="282">
        <v>75.92</v>
      </c>
      <c r="M294" s="282">
        <f t="shared" si="90"/>
        <v>73.48</v>
      </c>
      <c r="N294" s="282">
        <f t="shared" si="89"/>
        <v>73.477499999999992</v>
      </c>
      <c r="O294" s="271"/>
      <c r="P294" s="261"/>
      <c r="Q294" s="16">
        <v>2811102580</v>
      </c>
      <c r="R294" t="s">
        <v>721</v>
      </c>
      <c r="S294" s="343">
        <v>41.37</v>
      </c>
    </row>
    <row r="295" spans="1:20">
      <c r="A295" s="193"/>
      <c r="B295" s="215">
        <v>2810023810</v>
      </c>
      <c r="C295" s="203"/>
      <c r="D295" s="218"/>
      <c r="E295" s="216">
        <f t="shared" si="86"/>
        <v>106.71</v>
      </c>
      <c r="F295" s="216">
        <v>80.03</v>
      </c>
      <c r="G295" s="174" t="s">
        <v>1315</v>
      </c>
      <c r="H295" s="175" t="s">
        <v>1312</v>
      </c>
      <c r="J295" s="49">
        <f t="shared" si="87"/>
        <v>2810023810</v>
      </c>
      <c r="K295" s="217">
        <f t="shared" si="88"/>
        <v>106.71</v>
      </c>
      <c r="L295" s="282">
        <v>60.17</v>
      </c>
      <c r="M295" s="282">
        <f t="shared" si="90"/>
        <v>80.03</v>
      </c>
      <c r="N295" s="282">
        <f t="shared" si="89"/>
        <v>80.032499999999999</v>
      </c>
      <c r="O295" s="271"/>
      <c r="P295" s="261"/>
      <c r="Q295" s="16">
        <v>2811102680</v>
      </c>
      <c r="R295" t="s">
        <v>722</v>
      </c>
      <c r="S295" s="343">
        <v>46.37</v>
      </c>
    </row>
    <row r="296" spans="1:20">
      <c r="E296" s="216"/>
      <c r="F296" s="216"/>
      <c r="K296" s="217"/>
      <c r="L296" s="356"/>
      <c r="M296" s="356"/>
      <c r="N296" s="356"/>
      <c r="O296" s="271"/>
      <c r="P296" s="261"/>
      <c r="Q296" s="16">
        <v>2811102800</v>
      </c>
      <c r="R296" t="s">
        <v>723</v>
      </c>
      <c r="S296" s="343">
        <v>6.13</v>
      </c>
      <c r="T296">
        <v>6.74</v>
      </c>
    </row>
    <row r="297" spans="1:20">
      <c r="B297" s="293">
        <v>2811102800</v>
      </c>
      <c r="C297" s="294"/>
      <c r="D297" s="295"/>
      <c r="E297" s="296">
        <f t="shared" ref="E297:E325" si="91">VLOOKUP(B297,$Q$14:$S$1164,3,FALSE)</f>
        <v>6.13</v>
      </c>
      <c r="F297" s="301">
        <v>6.74</v>
      </c>
      <c r="G297" s="297" t="s">
        <v>1316</v>
      </c>
      <c r="H297" s="298" t="s">
        <v>66</v>
      </c>
      <c r="I297" s="299"/>
      <c r="J297" s="299">
        <f t="shared" ref="J297:J331" si="92">B297*$K$13</f>
        <v>2811102800</v>
      </c>
      <c r="K297" s="300">
        <f t="shared" si="88"/>
        <v>6.13</v>
      </c>
      <c r="L297" s="301">
        <v>6.55</v>
      </c>
      <c r="M297" s="301">
        <f t="shared" si="90"/>
        <v>6.74</v>
      </c>
      <c r="N297" s="301">
        <f>K297*$N$11</f>
        <v>6.7430000000000003</v>
      </c>
      <c r="O297" s="271"/>
      <c r="P297" s="261"/>
      <c r="Q297" s="16">
        <v>2811103810</v>
      </c>
      <c r="R297" t="s">
        <v>724</v>
      </c>
      <c r="S297" s="343">
        <v>158.1</v>
      </c>
    </row>
    <row r="298" spans="1:20">
      <c r="B298" s="293">
        <v>2811202800</v>
      </c>
      <c r="C298" s="294"/>
      <c r="D298" s="295"/>
      <c r="E298" s="296">
        <f t="shared" si="91"/>
        <v>6.24</v>
      </c>
      <c r="F298" s="301">
        <v>6.86</v>
      </c>
      <c r="G298" s="297" t="s">
        <v>1317</v>
      </c>
      <c r="H298" s="298" t="s">
        <v>66</v>
      </c>
      <c r="I298" s="299"/>
      <c r="J298" s="299">
        <f t="shared" si="92"/>
        <v>2811202800</v>
      </c>
      <c r="K298" s="300">
        <f t="shared" si="88"/>
        <v>6.24</v>
      </c>
      <c r="L298" s="301">
        <v>6.86</v>
      </c>
      <c r="M298" s="301">
        <f t="shared" si="90"/>
        <v>6.86</v>
      </c>
      <c r="N298" s="301">
        <f t="shared" ref="N298:N326" si="93">K298*$N$11</f>
        <v>6.8640000000000008</v>
      </c>
      <c r="O298" s="271"/>
      <c r="P298" s="261"/>
      <c r="Q298" s="16">
        <v>2811104000</v>
      </c>
      <c r="R298" t="s">
        <v>725</v>
      </c>
      <c r="S298" s="343">
        <v>47.33</v>
      </c>
    </row>
    <row r="299" spans="1:20">
      <c r="B299" s="293">
        <v>2811402800</v>
      </c>
      <c r="C299" s="294"/>
      <c r="D299" s="295"/>
      <c r="E299" s="296">
        <f t="shared" si="91"/>
        <v>32.949999999999996</v>
      </c>
      <c r="F299" s="301">
        <v>36.25</v>
      </c>
      <c r="G299" s="297" t="s">
        <v>1318</v>
      </c>
      <c r="H299" s="298" t="s">
        <v>66</v>
      </c>
      <c r="I299" s="299"/>
      <c r="J299" s="299">
        <f t="shared" si="92"/>
        <v>2811402800</v>
      </c>
      <c r="K299" s="300">
        <f t="shared" si="88"/>
        <v>32.949999999999996</v>
      </c>
      <c r="L299" s="301">
        <v>36.25</v>
      </c>
      <c r="M299" s="301">
        <f t="shared" si="90"/>
        <v>36.25</v>
      </c>
      <c r="N299" s="301">
        <f t="shared" si="93"/>
        <v>36.244999999999997</v>
      </c>
      <c r="O299" s="271"/>
      <c r="P299" s="261"/>
      <c r="Q299" s="16">
        <v>2811104080</v>
      </c>
      <c r="R299" t="s">
        <v>725</v>
      </c>
      <c r="S299" s="343">
        <v>42.3</v>
      </c>
    </row>
    <row r="300" spans="1:20">
      <c r="B300" s="293">
        <v>2811502800</v>
      </c>
      <c r="C300" s="294"/>
      <c r="D300" s="295"/>
      <c r="E300" s="296">
        <f t="shared" si="91"/>
        <v>35.6</v>
      </c>
      <c r="F300" s="301">
        <v>39.159999999999997</v>
      </c>
      <c r="G300" s="297" t="s">
        <v>1319</v>
      </c>
      <c r="H300" s="298" t="s">
        <v>66</v>
      </c>
      <c r="I300" s="299"/>
      <c r="J300" s="299">
        <f t="shared" si="92"/>
        <v>2811502800</v>
      </c>
      <c r="K300" s="300">
        <f t="shared" si="88"/>
        <v>35.6</v>
      </c>
      <c r="L300" s="301">
        <v>39.159999999999997</v>
      </c>
      <c r="M300" s="301">
        <f t="shared" si="90"/>
        <v>39.159999999999997</v>
      </c>
      <c r="N300" s="301">
        <f t="shared" si="93"/>
        <v>39.160000000000004</v>
      </c>
      <c r="O300" s="271"/>
      <c r="P300" s="261"/>
      <c r="Q300" s="16">
        <v>2811104100</v>
      </c>
      <c r="R300" t="s">
        <v>726</v>
      </c>
      <c r="S300" s="343">
        <v>47.33</v>
      </c>
    </row>
    <row r="301" spans="1:20">
      <c r="B301" s="293">
        <v>2811602800</v>
      </c>
      <c r="C301" s="294"/>
      <c r="D301" s="295"/>
      <c r="E301" s="296">
        <f t="shared" si="91"/>
        <v>36.6</v>
      </c>
      <c r="F301" s="301">
        <v>40.26</v>
      </c>
      <c r="G301" s="297" t="s">
        <v>1320</v>
      </c>
      <c r="H301" s="298" t="s">
        <v>66</v>
      </c>
      <c r="I301" s="299"/>
      <c r="J301" s="299">
        <f t="shared" si="92"/>
        <v>2811602800</v>
      </c>
      <c r="K301" s="300">
        <f t="shared" si="88"/>
        <v>36.6</v>
      </c>
      <c r="L301" s="301">
        <v>40.26</v>
      </c>
      <c r="M301" s="301">
        <f t="shared" si="90"/>
        <v>40.26</v>
      </c>
      <c r="N301" s="301">
        <f t="shared" si="93"/>
        <v>40.260000000000005</v>
      </c>
      <c r="O301" s="271"/>
      <c r="P301" s="261"/>
      <c r="Q301" s="16">
        <v>2811104180</v>
      </c>
      <c r="R301" s="347" t="s">
        <v>726</v>
      </c>
      <c r="S301" s="343">
        <v>39.869999999999997</v>
      </c>
    </row>
    <row r="302" spans="1:20">
      <c r="B302" s="293">
        <v>2811612880</v>
      </c>
      <c r="C302" s="294"/>
      <c r="D302" s="295"/>
      <c r="E302" s="296">
        <f t="shared" si="91"/>
        <v>111.82000000000001</v>
      </c>
      <c r="F302" s="301">
        <v>123</v>
      </c>
      <c r="G302" s="297" t="s">
        <v>1321</v>
      </c>
      <c r="H302" s="298" t="s">
        <v>66</v>
      </c>
      <c r="I302" s="299"/>
      <c r="J302" s="299">
        <f t="shared" si="92"/>
        <v>2811612880</v>
      </c>
      <c r="K302" s="300">
        <f t="shared" si="88"/>
        <v>111.82000000000001</v>
      </c>
      <c r="L302" s="301">
        <v>123</v>
      </c>
      <c r="M302" s="301">
        <f t="shared" si="90"/>
        <v>123</v>
      </c>
      <c r="N302" s="301">
        <f t="shared" si="93"/>
        <v>123.00200000000002</v>
      </c>
      <c r="O302" s="271"/>
      <c r="P302" s="261"/>
      <c r="Q302" s="16">
        <v>2811104280</v>
      </c>
      <c r="R302" t="s">
        <v>727</v>
      </c>
      <c r="S302" s="343">
        <v>174.10999999999999</v>
      </c>
    </row>
    <row r="303" spans="1:20">
      <c r="B303" s="293">
        <v>2811702800</v>
      </c>
      <c r="C303" s="294"/>
      <c r="D303" s="302"/>
      <c r="E303" s="296">
        <f t="shared" si="91"/>
        <v>37.200000000000003</v>
      </c>
      <c r="F303" s="301">
        <v>40.92</v>
      </c>
      <c r="G303" s="297" t="s">
        <v>1322</v>
      </c>
      <c r="H303" s="298" t="s">
        <v>66</v>
      </c>
      <c r="I303" s="299"/>
      <c r="J303" s="299">
        <f t="shared" si="92"/>
        <v>2811702800</v>
      </c>
      <c r="K303" s="300">
        <f t="shared" si="88"/>
        <v>37.200000000000003</v>
      </c>
      <c r="L303" s="301">
        <v>40.92</v>
      </c>
      <c r="M303" s="301">
        <f t="shared" si="90"/>
        <v>40.92</v>
      </c>
      <c r="N303" s="301">
        <f t="shared" si="93"/>
        <v>40.920000000000009</v>
      </c>
      <c r="O303" s="271"/>
      <c r="P303" s="261"/>
      <c r="Q303" s="16">
        <v>2811104300</v>
      </c>
      <c r="R303" t="s">
        <v>728</v>
      </c>
      <c r="S303" s="343">
        <v>259.77</v>
      </c>
    </row>
    <row r="304" spans="1:20">
      <c r="B304" s="293">
        <v>2811662890</v>
      </c>
      <c r="C304" s="294"/>
      <c r="D304" s="295"/>
      <c r="E304" s="296">
        <f t="shared" si="91"/>
        <v>103.89</v>
      </c>
      <c r="F304" s="301">
        <v>114.28</v>
      </c>
      <c r="G304" s="297" t="s">
        <v>1321</v>
      </c>
      <c r="H304" s="298" t="s">
        <v>66</v>
      </c>
      <c r="I304" s="299"/>
      <c r="J304" s="299">
        <f t="shared" si="92"/>
        <v>2811662890</v>
      </c>
      <c r="K304" s="300">
        <f t="shared" si="88"/>
        <v>103.89</v>
      </c>
      <c r="L304" s="301">
        <v>114.28</v>
      </c>
      <c r="M304" s="301">
        <f t="shared" si="90"/>
        <v>114.28</v>
      </c>
      <c r="N304" s="301">
        <f t="shared" si="93"/>
        <v>114.27900000000001</v>
      </c>
      <c r="O304" s="271"/>
      <c r="P304" s="261"/>
      <c r="Q304" s="16">
        <v>2811104380</v>
      </c>
      <c r="R304" t="s">
        <v>728</v>
      </c>
      <c r="S304" s="349">
        <v>123.25</v>
      </c>
    </row>
    <row r="305" spans="2:19">
      <c r="B305" s="293">
        <v>2811772890</v>
      </c>
      <c r="C305" s="294"/>
      <c r="D305" s="295"/>
      <c r="E305" s="296">
        <f t="shared" si="91"/>
        <v>88.12</v>
      </c>
      <c r="F305" s="301">
        <v>96.93</v>
      </c>
      <c r="G305" s="297" t="s">
        <v>1323</v>
      </c>
      <c r="H305" s="298" t="s">
        <v>66</v>
      </c>
      <c r="I305" s="299"/>
      <c r="J305" s="299">
        <f t="shared" si="92"/>
        <v>2811772890</v>
      </c>
      <c r="K305" s="300">
        <f t="shared" ref="K305:K325" si="94">VLOOKUP(J305,$Q$14:$S$1164,3,FALSE)</f>
        <v>88.12</v>
      </c>
      <c r="L305" s="301">
        <v>96.93</v>
      </c>
      <c r="M305" s="301">
        <f t="shared" si="90"/>
        <v>96.93</v>
      </c>
      <c r="N305" s="301">
        <f t="shared" si="93"/>
        <v>96.932000000000016</v>
      </c>
      <c r="O305" s="271"/>
      <c r="P305" s="261"/>
      <c r="Q305" s="16">
        <v>2811105181</v>
      </c>
      <c r="R305" t="s">
        <v>729</v>
      </c>
      <c r="S305" s="349">
        <v>96.27000000000001</v>
      </c>
    </row>
    <row r="306" spans="2:19">
      <c r="B306" s="293">
        <v>2811712880</v>
      </c>
      <c r="C306" s="294"/>
      <c r="D306" s="295"/>
      <c r="E306" s="296">
        <f t="shared" si="91"/>
        <v>228.41</v>
      </c>
      <c r="F306" s="301">
        <v>251.25</v>
      </c>
      <c r="G306" s="297" t="s">
        <v>1324</v>
      </c>
      <c r="H306" s="298" t="s">
        <v>66</v>
      </c>
      <c r="I306" s="299"/>
      <c r="J306" s="299">
        <f t="shared" si="92"/>
        <v>2811712880</v>
      </c>
      <c r="K306" s="300">
        <f t="shared" si="94"/>
        <v>228.41</v>
      </c>
      <c r="L306" s="301">
        <v>251.25</v>
      </c>
      <c r="M306" s="301">
        <f t="shared" si="90"/>
        <v>251.25</v>
      </c>
      <c r="N306" s="301">
        <f t="shared" si="93"/>
        <v>251.251</v>
      </c>
      <c r="O306" s="271"/>
      <c r="P306" s="261"/>
      <c r="Q306" s="16">
        <v>2811105705</v>
      </c>
      <c r="R306" t="s">
        <v>730</v>
      </c>
      <c r="S306" s="343">
        <v>80.069999999999993</v>
      </c>
    </row>
    <row r="307" spans="2:19">
      <c r="B307" s="293">
        <v>2811602890</v>
      </c>
      <c r="C307" s="299"/>
      <c r="D307" s="295"/>
      <c r="E307" s="296">
        <f t="shared" si="91"/>
        <v>44</v>
      </c>
      <c r="F307" s="301">
        <v>48.4</v>
      </c>
      <c r="G307" s="303" t="s">
        <v>1325</v>
      </c>
      <c r="H307" s="298"/>
      <c r="I307" s="299"/>
      <c r="J307" s="299">
        <f t="shared" si="92"/>
        <v>2811602890</v>
      </c>
      <c r="K307" s="300">
        <f t="shared" si="94"/>
        <v>44</v>
      </c>
      <c r="L307" s="301">
        <v>48.4</v>
      </c>
      <c r="M307" s="301">
        <f t="shared" si="90"/>
        <v>48.4</v>
      </c>
      <c r="N307" s="301">
        <f t="shared" si="93"/>
        <v>48.400000000000006</v>
      </c>
      <c r="O307" s="271"/>
      <c r="P307" s="261"/>
      <c r="Q307" s="16">
        <v>2811105710</v>
      </c>
      <c r="R307" t="s">
        <v>731</v>
      </c>
      <c r="S307" s="343">
        <v>129.13999999999999</v>
      </c>
    </row>
    <row r="308" spans="2:19">
      <c r="B308" s="293">
        <v>2811702890</v>
      </c>
      <c r="C308" s="299"/>
      <c r="D308" s="295"/>
      <c r="E308" s="296">
        <f t="shared" si="91"/>
        <v>55.57</v>
      </c>
      <c r="F308" s="301">
        <v>61.13</v>
      </c>
      <c r="G308" s="303" t="s">
        <v>1326</v>
      </c>
      <c r="H308" s="298"/>
      <c r="I308" s="299"/>
      <c r="J308" s="299">
        <f t="shared" si="92"/>
        <v>2811702890</v>
      </c>
      <c r="K308" s="300">
        <f t="shared" si="94"/>
        <v>55.57</v>
      </c>
      <c r="L308" s="301">
        <v>61.13</v>
      </c>
      <c r="M308" s="301">
        <f t="shared" si="90"/>
        <v>61.13</v>
      </c>
      <c r="N308" s="301">
        <f t="shared" si="93"/>
        <v>61.127000000000002</v>
      </c>
      <c r="O308" s="271"/>
      <c r="P308" s="261"/>
      <c r="Q308" s="16">
        <v>2811106100</v>
      </c>
      <c r="R308" t="s">
        <v>732</v>
      </c>
      <c r="S308" s="343">
        <v>63.79</v>
      </c>
    </row>
    <row r="309" spans="2:19">
      <c r="B309" s="293">
        <v>2810004000</v>
      </c>
      <c r="C309" s="294"/>
      <c r="D309" s="295"/>
      <c r="E309" s="296">
        <f t="shared" si="91"/>
        <v>163.92</v>
      </c>
      <c r="F309" s="301">
        <v>180.31</v>
      </c>
      <c r="G309" s="297" t="s">
        <v>382</v>
      </c>
      <c r="H309" s="298" t="s">
        <v>66</v>
      </c>
      <c r="I309" s="299"/>
      <c r="J309" s="299">
        <f t="shared" si="92"/>
        <v>2810004000</v>
      </c>
      <c r="K309" s="300">
        <f t="shared" si="94"/>
        <v>163.92</v>
      </c>
      <c r="L309" s="301">
        <v>180.31</v>
      </c>
      <c r="M309" s="301">
        <f t="shared" si="90"/>
        <v>180.31</v>
      </c>
      <c r="N309" s="301">
        <f t="shared" si="93"/>
        <v>180.31200000000001</v>
      </c>
      <c r="O309" s="271"/>
      <c r="P309" s="261"/>
      <c r="Q309" s="16">
        <v>2811106105</v>
      </c>
      <c r="R309" t="s">
        <v>733</v>
      </c>
      <c r="S309" s="343">
        <v>329.66</v>
      </c>
    </row>
    <row r="310" spans="2:19">
      <c r="B310" s="293">
        <v>2810014000</v>
      </c>
      <c r="C310" s="294"/>
      <c r="D310" s="304"/>
      <c r="E310" s="296">
        <f t="shared" si="91"/>
        <v>188.89</v>
      </c>
      <c r="F310" s="301">
        <v>207.78</v>
      </c>
      <c r="G310" s="297" t="s">
        <v>382</v>
      </c>
      <c r="H310" s="298" t="s">
        <v>66</v>
      </c>
      <c r="I310" s="299"/>
      <c r="J310" s="299">
        <f t="shared" si="92"/>
        <v>2810014000</v>
      </c>
      <c r="K310" s="300">
        <f t="shared" si="94"/>
        <v>188.89</v>
      </c>
      <c r="L310" s="301">
        <v>207.78</v>
      </c>
      <c r="M310" s="301">
        <f t="shared" si="90"/>
        <v>207.78</v>
      </c>
      <c r="N310" s="301">
        <f t="shared" si="93"/>
        <v>207.779</v>
      </c>
      <c r="O310" s="271"/>
      <c r="P310" s="261"/>
      <c r="Q310" s="345">
        <v>2811106200</v>
      </c>
      <c r="R310" s="173" t="s">
        <v>1334</v>
      </c>
      <c r="S310" s="343">
        <v>73.349999999999994</v>
      </c>
    </row>
    <row r="311" spans="2:19">
      <c r="B311" s="293">
        <v>2810004100</v>
      </c>
      <c r="C311" s="294"/>
      <c r="D311" s="304"/>
      <c r="E311" s="296">
        <f t="shared" si="91"/>
        <v>50.879999999999995</v>
      </c>
      <c r="F311" s="301">
        <v>55.97</v>
      </c>
      <c r="G311" s="297" t="s">
        <v>1327</v>
      </c>
      <c r="H311" s="298" t="s">
        <v>66</v>
      </c>
      <c r="I311" s="299"/>
      <c r="J311" s="299">
        <f t="shared" si="92"/>
        <v>2810004100</v>
      </c>
      <c r="K311" s="300">
        <f t="shared" si="94"/>
        <v>50.879999999999995</v>
      </c>
      <c r="L311" s="301">
        <v>55.97</v>
      </c>
      <c r="M311" s="301">
        <f t="shared" si="90"/>
        <v>55.97</v>
      </c>
      <c r="N311" s="301">
        <f t="shared" si="93"/>
        <v>55.967999999999996</v>
      </c>
      <c r="O311" s="271"/>
      <c r="P311" s="261"/>
      <c r="Q311" s="16">
        <v>2811106301</v>
      </c>
      <c r="R311" s="347" t="s">
        <v>734</v>
      </c>
      <c r="S311" s="343">
        <v>40.020000000000003</v>
      </c>
    </row>
    <row r="312" spans="2:19">
      <c r="B312" s="293">
        <v>2810014100</v>
      </c>
      <c r="C312" s="294"/>
      <c r="D312" s="304"/>
      <c r="E312" s="296">
        <f t="shared" si="91"/>
        <v>135.89999999999998</v>
      </c>
      <c r="F312" s="301">
        <v>149.49</v>
      </c>
      <c r="G312" s="297" t="s">
        <v>1328</v>
      </c>
      <c r="H312" s="298" t="s">
        <v>66</v>
      </c>
      <c r="I312" s="299"/>
      <c r="J312" s="299">
        <f t="shared" si="92"/>
        <v>2810014100</v>
      </c>
      <c r="K312" s="300">
        <f t="shared" si="94"/>
        <v>135.89999999999998</v>
      </c>
      <c r="L312" s="301">
        <v>149.49</v>
      </c>
      <c r="M312" s="301">
        <f t="shared" si="90"/>
        <v>149.49</v>
      </c>
      <c r="N312" s="301">
        <f t="shared" si="93"/>
        <v>149.48999999999998</v>
      </c>
      <c r="O312" s="271"/>
      <c r="P312" s="261"/>
      <c r="Q312" s="16">
        <v>2811106604</v>
      </c>
      <c r="R312" t="s">
        <v>735</v>
      </c>
      <c r="S312" s="343">
        <v>210.28</v>
      </c>
    </row>
    <row r="313" spans="2:19">
      <c r="B313" s="293">
        <v>2810044000</v>
      </c>
      <c r="C313" s="294"/>
      <c r="D313" s="304"/>
      <c r="E313" s="296">
        <f t="shared" si="91"/>
        <v>15.1</v>
      </c>
      <c r="F313" s="301">
        <v>16.61</v>
      </c>
      <c r="G313" s="297" t="s">
        <v>1329</v>
      </c>
      <c r="H313" s="298" t="s">
        <v>66</v>
      </c>
      <c r="I313" s="299"/>
      <c r="J313" s="299">
        <f t="shared" si="92"/>
        <v>2810044000</v>
      </c>
      <c r="K313" s="300">
        <f t="shared" si="94"/>
        <v>15.1</v>
      </c>
      <c r="L313" s="301">
        <v>16.61</v>
      </c>
      <c r="M313" s="301">
        <f t="shared" si="90"/>
        <v>16.61</v>
      </c>
      <c r="N313" s="301">
        <f t="shared" si="93"/>
        <v>16.61</v>
      </c>
      <c r="O313" s="271"/>
      <c r="P313" s="261"/>
      <c r="Q313" s="16">
        <v>2811106705</v>
      </c>
      <c r="R313" s="347" t="s">
        <v>736</v>
      </c>
      <c r="S313" s="349">
        <v>35.93</v>
      </c>
    </row>
    <row r="314" spans="2:19">
      <c r="B314" s="293">
        <v>2810034000</v>
      </c>
      <c r="C314" s="294"/>
      <c r="D314" s="304"/>
      <c r="E314" s="296">
        <f t="shared" si="91"/>
        <v>13.76</v>
      </c>
      <c r="F314" s="301">
        <v>15.14</v>
      </c>
      <c r="G314" s="297" t="s">
        <v>1330</v>
      </c>
      <c r="H314" s="298" t="s">
        <v>66</v>
      </c>
      <c r="I314" s="299"/>
      <c r="J314" s="299">
        <f t="shared" si="92"/>
        <v>2810034000</v>
      </c>
      <c r="K314" s="300">
        <f t="shared" si="94"/>
        <v>13.76</v>
      </c>
      <c r="L314" s="301">
        <v>15.14</v>
      </c>
      <c r="M314" s="301">
        <f t="shared" si="90"/>
        <v>15.14</v>
      </c>
      <c r="N314" s="301">
        <f t="shared" si="93"/>
        <v>15.136000000000001</v>
      </c>
      <c r="O314" s="271"/>
      <c r="P314" s="261"/>
      <c r="Q314" s="16">
        <v>2811108600</v>
      </c>
      <c r="R314" t="s">
        <v>737</v>
      </c>
      <c r="S314" s="343">
        <v>160.91999999999999</v>
      </c>
    </row>
    <row r="315" spans="2:19">
      <c r="B315" s="293">
        <v>2810014800</v>
      </c>
      <c r="C315" s="294"/>
      <c r="D315" s="304"/>
      <c r="E315" s="296">
        <f t="shared" si="91"/>
        <v>13.4</v>
      </c>
      <c r="F315" s="301">
        <v>14.74</v>
      </c>
      <c r="G315" s="297" t="s">
        <v>1331</v>
      </c>
      <c r="H315" s="298" t="s">
        <v>66</v>
      </c>
      <c r="I315" s="299"/>
      <c r="J315" s="299">
        <f t="shared" si="92"/>
        <v>2810014800</v>
      </c>
      <c r="K315" s="300">
        <f t="shared" si="94"/>
        <v>13.4</v>
      </c>
      <c r="L315" s="301">
        <v>14.74</v>
      </c>
      <c r="M315" s="301">
        <f t="shared" si="90"/>
        <v>14.74</v>
      </c>
      <c r="N315" s="301">
        <f t="shared" si="93"/>
        <v>14.740000000000002</v>
      </c>
      <c r="O315" s="271"/>
      <c r="P315" s="261"/>
      <c r="Q315" s="16">
        <v>2811108700</v>
      </c>
      <c r="R315" t="s">
        <v>738</v>
      </c>
      <c r="S315" s="343">
        <v>226.52</v>
      </c>
    </row>
    <row r="316" spans="2:19">
      <c r="B316" s="293">
        <v>1312100945</v>
      </c>
      <c r="C316" s="294"/>
      <c r="D316" s="304"/>
      <c r="E316" s="296">
        <f t="shared" si="91"/>
        <v>474.39</v>
      </c>
      <c r="F316" s="301">
        <v>521.83000000000004</v>
      </c>
      <c r="G316" s="297" t="s">
        <v>1332</v>
      </c>
      <c r="H316" s="298" t="s">
        <v>66</v>
      </c>
      <c r="I316" s="299"/>
      <c r="J316" s="299">
        <f t="shared" si="92"/>
        <v>1312100945</v>
      </c>
      <c r="K316" s="300">
        <f t="shared" si="94"/>
        <v>474.39</v>
      </c>
      <c r="L316" s="301">
        <v>521.83000000000004</v>
      </c>
      <c r="M316" s="301">
        <f t="shared" si="90"/>
        <v>521.83000000000004</v>
      </c>
      <c r="N316" s="301">
        <f t="shared" si="93"/>
        <v>521.82900000000006</v>
      </c>
      <c r="O316" s="271"/>
      <c r="P316" s="265"/>
      <c r="Q316" s="16">
        <v>2811111380</v>
      </c>
      <c r="R316" t="s">
        <v>739</v>
      </c>
      <c r="S316" s="343">
        <v>111.17</v>
      </c>
    </row>
    <row r="317" spans="2:19">
      <c r="B317" s="293">
        <v>2810004200</v>
      </c>
      <c r="C317" s="294"/>
      <c r="D317" s="304"/>
      <c r="E317" s="296">
        <f t="shared" si="91"/>
        <v>23.270000000000003</v>
      </c>
      <c r="F317" s="301">
        <v>25.6</v>
      </c>
      <c r="G317" s="297" t="s">
        <v>383</v>
      </c>
      <c r="H317" s="298" t="s">
        <v>66</v>
      </c>
      <c r="I317" s="299"/>
      <c r="J317" s="299">
        <f t="shared" si="92"/>
        <v>2810004200</v>
      </c>
      <c r="K317" s="300">
        <f t="shared" si="94"/>
        <v>23.270000000000003</v>
      </c>
      <c r="L317" s="301">
        <v>25.6</v>
      </c>
      <c r="M317" s="301">
        <f t="shared" si="90"/>
        <v>25.6</v>
      </c>
      <c r="N317" s="301">
        <f t="shared" si="93"/>
        <v>25.597000000000005</v>
      </c>
      <c r="O317" s="271"/>
      <c r="P317" s="265"/>
      <c r="Q317" s="16">
        <v>2811111480</v>
      </c>
      <c r="R317" t="s">
        <v>740</v>
      </c>
      <c r="S317" s="349">
        <v>87.31</v>
      </c>
    </row>
    <row r="318" spans="2:19">
      <c r="B318" s="293" t="s">
        <v>1845</v>
      </c>
      <c r="C318" s="294"/>
      <c r="D318" s="302"/>
      <c r="E318" s="296">
        <v>76.739999999999995</v>
      </c>
      <c r="F318" s="301">
        <v>76.73</v>
      </c>
      <c r="G318" s="297" t="s">
        <v>1333</v>
      </c>
      <c r="H318" s="298" t="s">
        <v>66</v>
      </c>
      <c r="I318" s="299"/>
      <c r="J318" s="299">
        <f t="shared" si="92"/>
        <v>462101105</v>
      </c>
      <c r="K318" s="300" t="e">
        <f t="shared" si="94"/>
        <v>#N/A</v>
      </c>
      <c r="L318" s="301">
        <v>74.489999999999995</v>
      </c>
      <c r="M318" s="301" t="e">
        <f t="shared" si="90"/>
        <v>#N/A</v>
      </c>
      <c r="N318" s="301" t="e">
        <f t="shared" si="93"/>
        <v>#N/A</v>
      </c>
      <c r="O318" s="271"/>
      <c r="P318" s="265"/>
      <c r="Q318" s="16">
        <v>2811111780</v>
      </c>
      <c r="R318" t="s">
        <v>741</v>
      </c>
      <c r="S318" s="343">
        <v>38.169999999999995</v>
      </c>
    </row>
    <row r="319" spans="2:19">
      <c r="B319" s="293" t="s">
        <v>1847</v>
      </c>
      <c r="C319" s="294"/>
      <c r="D319" s="302"/>
      <c r="E319" s="296">
        <v>191.43</v>
      </c>
      <c r="F319" s="301">
        <v>210.57</v>
      </c>
      <c r="G319" s="297" t="s">
        <v>82</v>
      </c>
      <c r="H319" s="298" t="s">
        <v>66</v>
      </c>
      <c r="I319" s="299"/>
      <c r="J319" s="299">
        <f t="shared" si="92"/>
        <v>462709421</v>
      </c>
      <c r="K319" s="300" t="e">
        <f t="shared" si="94"/>
        <v>#N/A</v>
      </c>
      <c r="L319" s="301">
        <v>204.44</v>
      </c>
      <c r="M319" s="301" t="e">
        <f t="shared" si="90"/>
        <v>#N/A</v>
      </c>
      <c r="N319" s="301" t="e">
        <f t="shared" si="93"/>
        <v>#N/A</v>
      </c>
      <c r="O319" s="271"/>
      <c r="P319" s="265"/>
      <c r="Q319" s="16">
        <v>2811111880</v>
      </c>
      <c r="R319" t="s">
        <v>742</v>
      </c>
      <c r="S319" s="349">
        <v>40.479999999999997</v>
      </c>
    </row>
    <row r="320" spans="2:19">
      <c r="B320" s="293">
        <v>2810064080</v>
      </c>
      <c r="C320" s="294"/>
      <c r="D320" s="302"/>
      <c r="E320" s="296">
        <f t="shared" si="91"/>
        <v>973.3</v>
      </c>
      <c r="F320" s="301">
        <v>1070.6300000000001</v>
      </c>
      <c r="G320" s="297" t="s">
        <v>384</v>
      </c>
      <c r="H320" s="298" t="s">
        <v>66</v>
      </c>
      <c r="I320" s="299"/>
      <c r="J320" s="299">
        <f t="shared" si="92"/>
        <v>2810064080</v>
      </c>
      <c r="K320" s="300">
        <f t="shared" si="94"/>
        <v>973.3</v>
      </c>
      <c r="L320" s="301">
        <v>1070.6300000000001</v>
      </c>
      <c r="M320" s="301">
        <f t="shared" si="90"/>
        <v>1070.6300000000001</v>
      </c>
      <c r="N320" s="301">
        <f t="shared" si="93"/>
        <v>1070.6300000000001</v>
      </c>
      <c r="O320" s="271"/>
      <c r="P320" s="265"/>
      <c r="Q320" s="16">
        <v>2811112220</v>
      </c>
      <c r="R320" t="s">
        <v>743</v>
      </c>
      <c r="S320" s="349">
        <v>47.949999999999996</v>
      </c>
    </row>
    <row r="321" spans="2:19">
      <c r="B321" s="293">
        <v>2810004300</v>
      </c>
      <c r="C321" s="294"/>
      <c r="D321" s="304"/>
      <c r="E321" s="296">
        <f t="shared" si="91"/>
        <v>9.56</v>
      </c>
      <c r="F321" s="301">
        <v>10.52</v>
      </c>
      <c r="G321" s="297" t="s">
        <v>1335</v>
      </c>
      <c r="H321" s="298" t="s">
        <v>66</v>
      </c>
      <c r="I321" s="299"/>
      <c r="J321" s="299">
        <f t="shared" si="92"/>
        <v>2810004300</v>
      </c>
      <c r="K321" s="300">
        <f t="shared" si="94"/>
        <v>9.56</v>
      </c>
      <c r="L321" s="301">
        <v>10.52</v>
      </c>
      <c r="M321" s="301">
        <f t="shared" si="90"/>
        <v>10.52</v>
      </c>
      <c r="N321" s="301">
        <f t="shared" si="93"/>
        <v>10.516000000000002</v>
      </c>
      <c r="O321" s="271"/>
      <c r="P321" s="265"/>
      <c r="Q321" s="16">
        <v>2811113810</v>
      </c>
      <c r="R321" t="s">
        <v>744</v>
      </c>
      <c r="S321" s="343">
        <v>158.1</v>
      </c>
    </row>
    <row r="322" spans="2:19">
      <c r="B322" s="293">
        <v>2810014300</v>
      </c>
      <c r="C322" s="294"/>
      <c r="D322" s="304"/>
      <c r="E322" s="296">
        <f t="shared" si="91"/>
        <v>8.379999999999999</v>
      </c>
      <c r="F322" s="301">
        <v>9.2200000000000006</v>
      </c>
      <c r="G322" s="297" t="s">
        <v>1335</v>
      </c>
      <c r="H322" s="298" t="s">
        <v>66</v>
      </c>
      <c r="I322" s="299"/>
      <c r="J322" s="299">
        <f t="shared" si="92"/>
        <v>2810014300</v>
      </c>
      <c r="K322" s="300">
        <f t="shared" si="94"/>
        <v>8.379999999999999</v>
      </c>
      <c r="L322" s="301">
        <v>9.2200000000000006</v>
      </c>
      <c r="M322" s="301">
        <f t="shared" si="90"/>
        <v>9.2200000000000006</v>
      </c>
      <c r="N322" s="301">
        <f t="shared" si="93"/>
        <v>9.218</v>
      </c>
      <c r="O322" s="271"/>
      <c r="P322" s="265"/>
      <c r="Q322" s="16">
        <v>2811115281</v>
      </c>
      <c r="R322" t="s">
        <v>745</v>
      </c>
      <c r="S322" s="343">
        <v>59.21</v>
      </c>
    </row>
    <row r="323" spans="2:19">
      <c r="B323" s="293">
        <v>2810004400</v>
      </c>
      <c r="C323" s="294"/>
      <c r="D323" s="304"/>
      <c r="E323" s="296">
        <f t="shared" si="91"/>
        <v>9.74</v>
      </c>
      <c r="F323" s="301">
        <v>10.71</v>
      </c>
      <c r="G323" s="297" t="s">
        <v>1336</v>
      </c>
      <c r="H323" s="298" t="s">
        <v>66</v>
      </c>
      <c r="I323" s="299"/>
      <c r="J323" s="299">
        <f t="shared" si="92"/>
        <v>2810004400</v>
      </c>
      <c r="K323" s="300">
        <f t="shared" si="94"/>
        <v>9.74</v>
      </c>
      <c r="L323" s="301">
        <v>10.71</v>
      </c>
      <c r="M323" s="301">
        <f t="shared" si="90"/>
        <v>10.71</v>
      </c>
      <c r="N323" s="301">
        <f t="shared" si="93"/>
        <v>10.714</v>
      </c>
      <c r="O323" s="271"/>
      <c r="P323" s="265"/>
      <c r="Q323" s="16">
        <v>2811115381</v>
      </c>
      <c r="R323" t="s">
        <v>746</v>
      </c>
      <c r="S323" s="349">
        <v>77</v>
      </c>
    </row>
    <row r="324" spans="2:19">
      <c r="B324" s="293">
        <v>2811024500</v>
      </c>
      <c r="C324" s="294"/>
      <c r="D324" s="304"/>
      <c r="E324" s="296">
        <f t="shared" si="91"/>
        <v>735.47</v>
      </c>
      <c r="F324" s="301">
        <v>809.02</v>
      </c>
      <c r="G324" s="297" t="s">
        <v>1337</v>
      </c>
      <c r="H324" s="298" t="s">
        <v>66</v>
      </c>
      <c r="I324" s="299"/>
      <c r="J324" s="299">
        <f t="shared" si="92"/>
        <v>2811024500</v>
      </c>
      <c r="K324" s="300">
        <f t="shared" si="94"/>
        <v>735.47</v>
      </c>
      <c r="L324" s="301">
        <v>809.02</v>
      </c>
      <c r="M324" s="301">
        <f t="shared" si="90"/>
        <v>809.02</v>
      </c>
      <c r="N324" s="301">
        <f t="shared" si="93"/>
        <v>809.01700000000005</v>
      </c>
      <c r="O324" s="271"/>
      <c r="P324" s="265"/>
      <c r="Q324" s="16">
        <v>2811117600</v>
      </c>
      <c r="R324" t="s">
        <v>747</v>
      </c>
      <c r="S324" s="343">
        <v>27.450000000000003</v>
      </c>
    </row>
    <row r="325" spans="2:19">
      <c r="B325" s="293">
        <v>2811004500</v>
      </c>
      <c r="C325" s="294"/>
      <c r="D325" s="295"/>
      <c r="E325" s="296">
        <f t="shared" si="91"/>
        <v>405.01</v>
      </c>
      <c r="F325" s="301">
        <v>445.51</v>
      </c>
      <c r="G325" s="297" t="s">
        <v>1338</v>
      </c>
      <c r="H325" s="298" t="s">
        <v>66</v>
      </c>
      <c r="I325" s="299"/>
      <c r="J325" s="299">
        <f t="shared" si="92"/>
        <v>2811004500</v>
      </c>
      <c r="K325" s="300">
        <f t="shared" si="94"/>
        <v>405.01</v>
      </c>
      <c r="L325" s="301">
        <v>445.51</v>
      </c>
      <c r="M325" s="301">
        <f t="shared" si="90"/>
        <v>445.51</v>
      </c>
      <c r="N325" s="301">
        <f t="shared" si="93"/>
        <v>445.51100000000002</v>
      </c>
      <c r="O325" s="271"/>
      <c r="P325" s="261"/>
      <c r="Q325" s="16">
        <v>2811117700</v>
      </c>
      <c r="R325" t="s">
        <v>748</v>
      </c>
      <c r="S325" s="343">
        <v>14.97</v>
      </c>
    </row>
    <row r="326" spans="2:19">
      <c r="B326" s="293">
        <v>2811022990</v>
      </c>
      <c r="C326" s="290"/>
      <c r="D326" s="295"/>
      <c r="E326" s="301">
        <v>6.07</v>
      </c>
      <c r="F326" s="301">
        <v>6.68</v>
      </c>
      <c r="G326" s="291" t="s">
        <v>1818</v>
      </c>
      <c r="H326" s="292" t="s">
        <v>66</v>
      </c>
      <c r="I326" s="299"/>
      <c r="J326" s="290">
        <f t="shared" si="92"/>
        <v>2811022990</v>
      </c>
      <c r="K326" s="301">
        <v>6.07</v>
      </c>
      <c r="L326" s="301">
        <v>6.68</v>
      </c>
      <c r="M326" s="301">
        <f t="shared" si="90"/>
        <v>6.68</v>
      </c>
      <c r="N326" s="301">
        <f t="shared" si="93"/>
        <v>6.6770000000000005</v>
      </c>
      <c r="O326" s="271"/>
      <c r="P326" s="265"/>
      <c r="Q326" s="16">
        <v>2811117800</v>
      </c>
      <c r="R326" t="s">
        <v>749</v>
      </c>
      <c r="S326" s="343">
        <v>15.879999999999999</v>
      </c>
    </row>
    <row r="327" spans="2:19">
      <c r="B327" s="293">
        <v>2810024000</v>
      </c>
      <c r="C327" s="294"/>
      <c r="D327" s="299"/>
      <c r="E327" s="296">
        <f t="shared" ref="E327:E331" si="95">VLOOKUP(B327,$Q$14:$S$1164,3,FALSE)</f>
        <v>269.2</v>
      </c>
      <c r="F327" s="301">
        <v>314.42</v>
      </c>
      <c r="G327" s="297" t="s">
        <v>1345</v>
      </c>
      <c r="H327" s="298" t="s">
        <v>66</v>
      </c>
      <c r="I327" s="299"/>
      <c r="J327" s="299">
        <f t="shared" si="92"/>
        <v>2810024000</v>
      </c>
      <c r="K327" s="300">
        <f t="shared" ref="K327:K331" si="96">VLOOKUP(J327,$Q$14:$S$1164,3,FALSE)</f>
        <v>269.2</v>
      </c>
      <c r="L327" s="301">
        <v>296.12</v>
      </c>
      <c r="M327" s="301">
        <f t="shared" si="90"/>
        <v>201.9</v>
      </c>
      <c r="N327" s="301">
        <f t="shared" ref="N327:N331" si="97">K327*$N$13</f>
        <v>201.89999999999998</v>
      </c>
      <c r="O327" s="271"/>
      <c r="P327" s="265"/>
      <c r="Q327" s="16">
        <v>2811117900</v>
      </c>
      <c r="R327" t="s">
        <v>750</v>
      </c>
      <c r="S327" s="343">
        <v>28.290000000000003</v>
      </c>
    </row>
    <row r="328" spans="2:19">
      <c r="B328" s="293">
        <v>2810004800</v>
      </c>
      <c r="C328" s="329"/>
      <c r="D328" s="299"/>
      <c r="E328" s="296">
        <f t="shared" si="95"/>
        <v>3.42</v>
      </c>
      <c r="F328" s="301">
        <v>3.99</v>
      </c>
      <c r="G328" s="297" t="s">
        <v>1346</v>
      </c>
      <c r="H328" s="298" t="s">
        <v>1347</v>
      </c>
      <c r="I328" s="299"/>
      <c r="J328" s="299">
        <f t="shared" si="92"/>
        <v>2810004800</v>
      </c>
      <c r="K328" s="300">
        <f t="shared" si="96"/>
        <v>3.42</v>
      </c>
      <c r="L328" s="301">
        <v>3.76</v>
      </c>
      <c r="M328" s="301">
        <f t="shared" si="90"/>
        <v>2.57</v>
      </c>
      <c r="N328" s="301">
        <f t="shared" si="97"/>
        <v>2.5649999999999999</v>
      </c>
      <c r="O328" s="271"/>
      <c r="P328" s="261"/>
      <c r="Q328" s="16">
        <v>2811125100</v>
      </c>
      <c r="R328" t="s">
        <v>751</v>
      </c>
      <c r="S328" s="343">
        <v>23.830000000000002</v>
      </c>
    </row>
    <row r="329" spans="2:19">
      <c r="B329" s="293">
        <v>2810064100</v>
      </c>
      <c r="C329" s="299"/>
      <c r="D329" s="299"/>
      <c r="E329" s="296">
        <f t="shared" si="95"/>
        <v>24.220000000000002</v>
      </c>
      <c r="F329" s="301">
        <v>28.28</v>
      </c>
      <c r="G329" s="297" t="s">
        <v>1348</v>
      </c>
      <c r="H329" s="298" t="s">
        <v>1347</v>
      </c>
      <c r="I329" s="299"/>
      <c r="J329" s="299">
        <f t="shared" si="92"/>
        <v>2810064100</v>
      </c>
      <c r="K329" s="300">
        <f t="shared" si="96"/>
        <v>24.220000000000002</v>
      </c>
      <c r="L329" s="301">
        <v>5.86</v>
      </c>
      <c r="M329" s="301">
        <f t="shared" si="90"/>
        <v>18.170000000000002</v>
      </c>
      <c r="N329" s="301">
        <f t="shared" si="97"/>
        <v>18.165000000000003</v>
      </c>
      <c r="O329" s="271"/>
      <c r="P329" s="261"/>
      <c r="Q329" s="16">
        <v>2811126400</v>
      </c>
      <c r="R329" t="s">
        <v>752</v>
      </c>
      <c r="S329" s="343">
        <v>30.560000000000002</v>
      </c>
    </row>
    <row r="330" spans="2:19">
      <c r="B330" s="293">
        <v>2810024300</v>
      </c>
      <c r="C330" s="299"/>
      <c r="D330" s="299"/>
      <c r="E330" s="296">
        <f t="shared" si="95"/>
        <v>5.33</v>
      </c>
      <c r="F330" s="301">
        <v>6.21</v>
      </c>
      <c r="G330" s="297" t="s">
        <v>1349</v>
      </c>
      <c r="H330" s="298" t="s">
        <v>1347</v>
      </c>
      <c r="I330" s="299"/>
      <c r="J330" s="299">
        <f t="shared" si="92"/>
        <v>2810024300</v>
      </c>
      <c r="K330" s="300">
        <f t="shared" si="96"/>
        <v>5.33</v>
      </c>
      <c r="L330" s="301">
        <v>1.54</v>
      </c>
      <c r="M330" s="301">
        <f t="shared" si="90"/>
        <v>4</v>
      </c>
      <c r="N330" s="301">
        <f t="shared" si="97"/>
        <v>3.9975000000000001</v>
      </c>
      <c r="O330" s="271"/>
      <c r="P330" s="265"/>
      <c r="Q330" s="16">
        <v>2811126410</v>
      </c>
      <c r="R330" t="s">
        <v>753</v>
      </c>
      <c r="S330" s="343">
        <v>16.260000000000002</v>
      </c>
    </row>
    <row r="331" spans="2:19">
      <c r="B331" s="293">
        <v>2811014900</v>
      </c>
      <c r="C331" s="329"/>
      <c r="D331" s="299"/>
      <c r="E331" s="296">
        <f t="shared" si="95"/>
        <v>1.4</v>
      </c>
      <c r="F331" s="301">
        <v>1.54</v>
      </c>
      <c r="G331" s="297" t="s">
        <v>1350</v>
      </c>
      <c r="H331" s="298" t="s">
        <v>1347</v>
      </c>
      <c r="I331" s="299"/>
      <c r="J331" s="299">
        <f t="shared" si="92"/>
        <v>2811014900</v>
      </c>
      <c r="K331" s="300">
        <f t="shared" si="96"/>
        <v>1.4</v>
      </c>
      <c r="L331" s="356"/>
      <c r="M331" s="301">
        <f t="shared" si="90"/>
        <v>1.05</v>
      </c>
      <c r="N331" s="301">
        <f t="shared" si="97"/>
        <v>1.0499999999999998</v>
      </c>
      <c r="O331" s="271"/>
      <c r="P331" s="265"/>
      <c r="Q331" s="16">
        <v>2811200000</v>
      </c>
      <c r="R331" t="s">
        <v>754</v>
      </c>
      <c r="S331" s="349">
        <v>108.35000000000001</v>
      </c>
    </row>
    <row r="332" spans="2:19">
      <c r="B332" s="357"/>
      <c r="C332" s="358"/>
      <c r="E332" s="356"/>
      <c r="F332" s="356"/>
      <c r="G332" s="359"/>
      <c r="H332" s="360"/>
      <c r="J332" s="358"/>
      <c r="K332" s="356"/>
      <c r="L332" s="282">
        <v>66.38</v>
      </c>
      <c r="M332" s="356"/>
      <c r="N332" s="356"/>
      <c r="O332" s="271"/>
      <c r="P332" s="265"/>
      <c r="Q332" s="16">
        <v>2811200112</v>
      </c>
      <c r="R332" t="s">
        <v>755</v>
      </c>
      <c r="S332" s="343">
        <v>40.380000000000003</v>
      </c>
    </row>
    <row r="333" spans="2:19">
      <c r="B333" s="215">
        <v>1312100941</v>
      </c>
      <c r="C333" s="203"/>
      <c r="E333" s="216">
        <f t="shared" ref="E333:E340" si="98">VLOOKUP(B333,$Q$14:$S$1164,3,FALSE)</f>
        <v>85.68</v>
      </c>
      <c r="F333" s="216">
        <v>64.260000000000005</v>
      </c>
      <c r="G333" s="174" t="s">
        <v>1339</v>
      </c>
      <c r="H333" s="175" t="s">
        <v>1139</v>
      </c>
      <c r="J333" s="49">
        <f t="shared" ref="J333:J340" si="99">B333*$K$13</f>
        <v>1312100941</v>
      </c>
      <c r="K333" s="217">
        <f t="shared" ref="K333:K340" si="100">VLOOKUP(J333,$Q$14:$S$1164,3,FALSE)</f>
        <v>85.68</v>
      </c>
      <c r="L333" s="282">
        <v>66.400000000000006</v>
      </c>
      <c r="M333" s="282">
        <f t="shared" si="90"/>
        <v>64.260000000000005</v>
      </c>
      <c r="N333" s="282">
        <f t="shared" ref="N333:N340" si="101">K333*$N$13</f>
        <v>64.260000000000005</v>
      </c>
      <c r="O333" s="271"/>
      <c r="P333" s="261"/>
      <c r="Q333" s="16">
        <v>2811200280</v>
      </c>
      <c r="R333" t="s">
        <v>756</v>
      </c>
      <c r="S333" s="349">
        <v>31.46</v>
      </c>
    </row>
    <row r="334" spans="2:19">
      <c r="B334" s="215">
        <v>1312100942</v>
      </c>
      <c r="C334" s="203"/>
      <c r="E334" s="216">
        <f t="shared" si="98"/>
        <v>85.68</v>
      </c>
      <c r="F334" s="216">
        <v>64.260000000000005</v>
      </c>
      <c r="G334" s="174" t="s">
        <v>1339</v>
      </c>
      <c r="H334" s="175" t="s">
        <v>1139</v>
      </c>
      <c r="J334" s="49">
        <f t="shared" si="99"/>
        <v>1312100942</v>
      </c>
      <c r="K334" s="217">
        <f t="shared" si="100"/>
        <v>85.68</v>
      </c>
      <c r="L334" s="282">
        <v>22.37</v>
      </c>
      <c r="M334" s="282">
        <f t="shared" si="90"/>
        <v>64.260000000000005</v>
      </c>
      <c r="N334" s="282">
        <f t="shared" si="101"/>
        <v>64.260000000000005</v>
      </c>
      <c r="O334" s="271"/>
      <c r="P334" s="261"/>
      <c r="Q334" s="16">
        <v>2811200380</v>
      </c>
      <c r="R334" t="s">
        <v>757</v>
      </c>
      <c r="S334" s="349">
        <v>35.059999999999995</v>
      </c>
    </row>
    <row r="335" spans="2:19">
      <c r="B335" s="215">
        <v>1312100946</v>
      </c>
      <c r="C335" s="203"/>
      <c r="E335" s="216">
        <f t="shared" si="98"/>
        <v>32.04</v>
      </c>
      <c r="F335" s="216">
        <v>24.03</v>
      </c>
      <c r="G335" s="174" t="s">
        <v>1339</v>
      </c>
      <c r="H335" s="175" t="s">
        <v>1139</v>
      </c>
      <c r="J335" s="49">
        <f t="shared" si="99"/>
        <v>1312100946</v>
      </c>
      <c r="K335" s="217">
        <f t="shared" si="100"/>
        <v>32.04</v>
      </c>
      <c r="L335" s="282">
        <v>22.37</v>
      </c>
      <c r="M335" s="282">
        <f t="shared" si="90"/>
        <v>24.03</v>
      </c>
      <c r="N335" s="282">
        <f t="shared" si="101"/>
        <v>24.03</v>
      </c>
      <c r="O335" s="271"/>
      <c r="P335" s="261"/>
      <c r="Q335" s="16">
        <v>2811200390</v>
      </c>
      <c r="R335" t="s">
        <v>706</v>
      </c>
      <c r="S335" s="343">
        <v>39.72</v>
      </c>
    </row>
    <row r="336" spans="2:19">
      <c r="B336" s="215">
        <v>1312100947</v>
      </c>
      <c r="C336" s="203"/>
      <c r="E336" s="216">
        <f t="shared" si="98"/>
        <v>32.04</v>
      </c>
      <c r="F336" s="216">
        <v>24.03</v>
      </c>
      <c r="G336" s="174" t="s">
        <v>1339</v>
      </c>
      <c r="H336" s="175" t="s">
        <v>1139</v>
      </c>
      <c r="J336" s="49">
        <f t="shared" si="99"/>
        <v>1312100947</v>
      </c>
      <c r="K336" s="217">
        <f t="shared" si="100"/>
        <v>32.04</v>
      </c>
      <c r="L336" s="282">
        <v>3.52</v>
      </c>
      <c r="M336" s="282">
        <f t="shared" si="90"/>
        <v>24.03</v>
      </c>
      <c r="N336" s="282">
        <f t="shared" si="101"/>
        <v>24.03</v>
      </c>
      <c r="O336" s="271"/>
      <c r="P336" s="261"/>
      <c r="Q336" s="16">
        <v>2811200480</v>
      </c>
      <c r="R336" t="s">
        <v>758</v>
      </c>
      <c r="S336" s="343">
        <v>33.949999999999996</v>
      </c>
    </row>
    <row r="337" spans="2:20">
      <c r="B337" s="215">
        <v>1312100943</v>
      </c>
      <c r="C337" s="203"/>
      <c r="E337" s="216">
        <f t="shared" si="98"/>
        <v>4.6900000000000004</v>
      </c>
      <c r="F337" s="216">
        <v>3.52</v>
      </c>
      <c r="G337" s="174" t="s">
        <v>1340</v>
      </c>
      <c r="H337" s="175" t="s">
        <v>1139</v>
      </c>
      <c r="J337" s="49">
        <f t="shared" si="99"/>
        <v>1312100943</v>
      </c>
      <c r="K337" s="217">
        <f t="shared" si="100"/>
        <v>4.6900000000000004</v>
      </c>
      <c r="L337" s="282">
        <v>3.52</v>
      </c>
      <c r="M337" s="282">
        <f t="shared" si="90"/>
        <v>3.52</v>
      </c>
      <c r="N337" s="282">
        <f t="shared" si="101"/>
        <v>3.5175000000000001</v>
      </c>
      <c r="O337" s="271"/>
      <c r="P337" s="261"/>
      <c r="Q337" s="16">
        <v>2811200490</v>
      </c>
      <c r="R337" t="s">
        <v>708</v>
      </c>
      <c r="S337" s="343">
        <v>120.45</v>
      </c>
    </row>
    <row r="338" spans="2:20">
      <c r="B338" s="215">
        <v>1312100944</v>
      </c>
      <c r="C338" s="203"/>
      <c r="E338" s="216">
        <f t="shared" si="98"/>
        <v>4.6900000000000004</v>
      </c>
      <c r="F338" s="216">
        <v>3.52</v>
      </c>
      <c r="G338" s="174" t="s">
        <v>1340</v>
      </c>
      <c r="H338" s="175" t="s">
        <v>1139</v>
      </c>
      <c r="J338" s="49">
        <f t="shared" si="99"/>
        <v>1312100944</v>
      </c>
      <c r="K338" s="217">
        <f t="shared" si="100"/>
        <v>4.6900000000000004</v>
      </c>
      <c r="L338" s="282">
        <v>5.08</v>
      </c>
      <c r="M338" s="282">
        <f t="shared" si="90"/>
        <v>3.52</v>
      </c>
      <c r="N338" s="282">
        <f t="shared" si="101"/>
        <v>3.5175000000000001</v>
      </c>
      <c r="O338" s="271"/>
      <c r="P338" s="265"/>
      <c r="Q338" s="16">
        <v>2811200580</v>
      </c>
      <c r="R338" t="s">
        <v>1344</v>
      </c>
      <c r="S338" s="349">
        <v>43.989999999999995</v>
      </c>
    </row>
    <row r="339" spans="2:20">
      <c r="B339" s="215">
        <v>1312100948</v>
      </c>
      <c r="C339" s="203"/>
      <c r="E339" s="216">
        <f t="shared" si="98"/>
        <v>7.27</v>
      </c>
      <c r="F339" s="216">
        <v>5.45</v>
      </c>
      <c r="G339" s="174" t="s">
        <v>1340</v>
      </c>
      <c r="H339" s="175" t="s">
        <v>1139</v>
      </c>
      <c r="J339" s="49">
        <f t="shared" si="99"/>
        <v>1312100948</v>
      </c>
      <c r="K339" s="217">
        <f t="shared" si="100"/>
        <v>7.27</v>
      </c>
      <c r="L339" s="282">
        <v>4.4800000000000004</v>
      </c>
      <c r="M339" s="282">
        <f t="shared" si="90"/>
        <v>5.45</v>
      </c>
      <c r="N339" s="282">
        <f t="shared" si="101"/>
        <v>5.4524999999999997</v>
      </c>
      <c r="O339" s="271"/>
      <c r="P339" s="261"/>
      <c r="Q339" s="16">
        <v>2811200590</v>
      </c>
      <c r="R339" t="s">
        <v>759</v>
      </c>
      <c r="S339" s="343">
        <v>100.15</v>
      </c>
    </row>
    <row r="340" spans="2:20">
      <c r="B340" s="215">
        <v>1312100949</v>
      </c>
      <c r="C340" s="203"/>
      <c r="D340" s="173"/>
      <c r="E340" s="216">
        <f t="shared" si="98"/>
        <v>5.97</v>
      </c>
      <c r="F340" s="216">
        <v>4.4800000000000004</v>
      </c>
      <c r="G340" s="174" t="s">
        <v>1340</v>
      </c>
      <c r="H340" s="175" t="s">
        <v>1139</v>
      </c>
      <c r="J340" s="49">
        <f t="shared" si="99"/>
        <v>1312100949</v>
      </c>
      <c r="K340" s="217">
        <f t="shared" si="100"/>
        <v>5.97</v>
      </c>
      <c r="L340" s="282"/>
      <c r="M340" s="282">
        <f t="shared" si="90"/>
        <v>4.4800000000000004</v>
      </c>
      <c r="N340" s="282">
        <f t="shared" si="101"/>
        <v>4.4775</v>
      </c>
      <c r="O340" s="271"/>
      <c r="P340" s="261"/>
      <c r="Q340" s="16">
        <v>2811200680</v>
      </c>
      <c r="R340" t="s">
        <v>760</v>
      </c>
      <c r="S340" s="349">
        <v>28.62</v>
      </c>
    </row>
    <row r="341" spans="2:20">
      <c r="E341" s="216"/>
      <c r="F341" s="216"/>
      <c r="K341" s="217"/>
      <c r="L341" s="282">
        <v>79.319999999999993</v>
      </c>
      <c r="M341" s="282"/>
      <c r="N341" s="282"/>
      <c r="O341" s="271"/>
      <c r="P341" s="261"/>
      <c r="Q341" s="16">
        <v>2811200980</v>
      </c>
      <c r="R341" t="s">
        <v>761</v>
      </c>
      <c r="S341" s="343">
        <v>95.710000000000008</v>
      </c>
    </row>
    <row r="342" spans="2:20">
      <c r="B342" s="215">
        <v>2810005500</v>
      </c>
      <c r="C342" s="203"/>
      <c r="D342" s="218"/>
      <c r="E342" s="216">
        <f>VLOOKUP(B342,$Q$14:$S$1164,3,FALSE)</f>
        <v>102.36</v>
      </c>
      <c r="F342" s="216">
        <v>76.77</v>
      </c>
      <c r="G342" s="174" t="s">
        <v>1341</v>
      </c>
      <c r="H342" s="175" t="s">
        <v>1139</v>
      </c>
      <c r="J342" s="49">
        <f>B342*$K$13</f>
        <v>2810005500</v>
      </c>
      <c r="K342" s="217">
        <f>VLOOKUP(J342,$Q$14:$S$1164,3,FALSE)</f>
        <v>102.36</v>
      </c>
      <c r="L342" s="282">
        <v>85.64</v>
      </c>
      <c r="M342" s="282">
        <f t="shared" si="90"/>
        <v>76.77</v>
      </c>
      <c r="N342" s="282">
        <f>K342*$N$13</f>
        <v>76.77</v>
      </c>
      <c r="O342" s="271"/>
      <c r="P342" s="261"/>
      <c r="Q342" s="16">
        <v>2811201180</v>
      </c>
      <c r="R342" t="s">
        <v>762</v>
      </c>
      <c r="S342" s="343">
        <v>92.690000000000012</v>
      </c>
    </row>
    <row r="343" spans="2:20">
      <c r="B343" s="215">
        <v>2810005501</v>
      </c>
      <c r="C343" s="203"/>
      <c r="D343" s="218"/>
      <c r="E343" s="216">
        <f>VLOOKUP(B343,$Q$14:$S$1164,3,FALSE)</f>
        <v>110.5</v>
      </c>
      <c r="F343" s="216">
        <v>82.88</v>
      </c>
      <c r="G343" s="174" t="s">
        <v>1342</v>
      </c>
      <c r="H343" s="175" t="s">
        <v>1139</v>
      </c>
      <c r="J343" s="49">
        <f>B343*$K$13</f>
        <v>2810005501</v>
      </c>
      <c r="K343" s="217">
        <f>VLOOKUP(J343,$Q$14:$S$1164,3,FALSE)</f>
        <v>110.5</v>
      </c>
      <c r="L343" s="282"/>
      <c r="M343" s="282">
        <f t="shared" si="90"/>
        <v>82.88</v>
      </c>
      <c r="N343" s="282">
        <f>K343*$N$13</f>
        <v>82.875</v>
      </c>
      <c r="O343" s="271"/>
      <c r="P343" s="261"/>
      <c r="Q343" s="16">
        <v>2811201280</v>
      </c>
      <c r="R343" t="s">
        <v>763</v>
      </c>
      <c r="S343" s="349">
        <v>35.049999999999997</v>
      </c>
    </row>
    <row r="344" spans="2:20">
      <c r="B344" s="215"/>
      <c r="C344" s="231"/>
      <c r="E344" s="216"/>
      <c r="F344" s="216"/>
      <c r="K344" s="217"/>
      <c r="L344" s="282">
        <v>30.12</v>
      </c>
      <c r="M344" s="282"/>
      <c r="N344" s="282"/>
      <c r="O344" s="271"/>
      <c r="P344" s="261"/>
      <c r="Q344" s="16">
        <v>2811201980</v>
      </c>
      <c r="R344" t="s">
        <v>764</v>
      </c>
      <c r="S344" s="343">
        <v>67.12</v>
      </c>
    </row>
    <row r="345" spans="2:20">
      <c r="B345" s="215">
        <v>2810023805</v>
      </c>
      <c r="C345" s="231"/>
      <c r="E345" s="216">
        <f t="shared" ref="E345:E403" si="102">VLOOKUP(B345,$Q$14:$S$1164,3,FALSE)</f>
        <v>40.159999999999997</v>
      </c>
      <c r="F345" s="216">
        <v>30.12</v>
      </c>
      <c r="G345" s="174" t="s">
        <v>1343</v>
      </c>
      <c r="H345" s="175" t="s">
        <v>1139</v>
      </c>
      <c r="J345" s="49">
        <f t="shared" ref="J345:J362" si="103">B345*$K$13</f>
        <v>2810023805</v>
      </c>
      <c r="K345" s="217">
        <f t="shared" ref="K345:K371" si="104">VLOOKUP(J345,$Q$14:$S$1164,3,FALSE)</f>
        <v>40.159999999999997</v>
      </c>
      <c r="L345" s="282">
        <v>40.31</v>
      </c>
      <c r="M345" s="282">
        <f t="shared" si="90"/>
        <v>30.12</v>
      </c>
      <c r="N345" s="282">
        <f t="shared" ref="N345:N362" si="105">K345*$N$13</f>
        <v>30.119999999999997</v>
      </c>
      <c r="O345" s="271"/>
      <c r="P345" s="261"/>
      <c r="Q345" s="16">
        <v>2811202080</v>
      </c>
      <c r="R345" t="s">
        <v>765</v>
      </c>
      <c r="S345" s="343">
        <v>59.66</v>
      </c>
    </row>
    <row r="346" spans="2:20">
      <c r="B346" s="215">
        <v>2810033805</v>
      </c>
      <c r="C346" s="231"/>
      <c r="E346" s="216">
        <f t="shared" si="102"/>
        <v>53.75</v>
      </c>
      <c r="F346" s="216">
        <v>40.31</v>
      </c>
      <c r="G346" s="174" t="s">
        <v>1343</v>
      </c>
      <c r="H346" s="175" t="s">
        <v>1139</v>
      </c>
      <c r="J346" s="49">
        <f t="shared" si="103"/>
        <v>2810033805</v>
      </c>
      <c r="K346" s="217">
        <f t="shared" si="104"/>
        <v>53.75</v>
      </c>
      <c r="L346" s="282">
        <v>80.63</v>
      </c>
      <c r="M346" s="282">
        <f t="shared" si="90"/>
        <v>40.31</v>
      </c>
      <c r="N346" s="282">
        <f t="shared" si="105"/>
        <v>40.3125</v>
      </c>
      <c r="O346" s="271"/>
      <c r="P346" s="265"/>
      <c r="Q346" s="16">
        <v>2811202201</v>
      </c>
      <c r="R346" t="s">
        <v>766</v>
      </c>
      <c r="S346" s="343">
        <v>1.41</v>
      </c>
    </row>
    <row r="347" spans="2:20">
      <c r="B347" s="215">
        <v>2810033810</v>
      </c>
      <c r="C347" s="231"/>
      <c r="E347" s="216">
        <f t="shared" si="102"/>
        <v>142.99</v>
      </c>
      <c r="F347" s="216">
        <v>107.24</v>
      </c>
      <c r="G347" s="174" t="s">
        <v>1343</v>
      </c>
      <c r="H347" s="175" t="s">
        <v>1139</v>
      </c>
      <c r="J347" s="49">
        <f t="shared" si="103"/>
        <v>2810033810</v>
      </c>
      <c r="K347" s="217">
        <f t="shared" si="104"/>
        <v>142.99</v>
      </c>
      <c r="L347" s="282">
        <v>30.11</v>
      </c>
      <c r="M347" s="282">
        <f t="shared" si="90"/>
        <v>107.24</v>
      </c>
      <c r="N347" s="282">
        <f t="shared" si="105"/>
        <v>107.24250000000001</v>
      </c>
      <c r="O347" s="271"/>
      <c r="P347" s="261"/>
      <c r="Q347" s="16">
        <v>2811202220</v>
      </c>
      <c r="R347" t="s">
        <v>767</v>
      </c>
      <c r="S347" s="343">
        <v>22.040000000000003</v>
      </c>
    </row>
    <row r="348" spans="2:20">
      <c r="B348" s="215">
        <v>2810043805</v>
      </c>
      <c r="C348" s="231"/>
      <c r="E348" s="216">
        <f t="shared" si="102"/>
        <v>40.15</v>
      </c>
      <c r="F348" s="216">
        <v>30.11</v>
      </c>
      <c r="G348" s="174" t="s">
        <v>1343</v>
      </c>
      <c r="H348" s="175" t="s">
        <v>1139</v>
      </c>
      <c r="J348" s="49">
        <f t="shared" si="103"/>
        <v>2810043805</v>
      </c>
      <c r="K348" s="217">
        <f t="shared" si="104"/>
        <v>40.15</v>
      </c>
      <c r="L348" s="282">
        <v>60.19</v>
      </c>
      <c r="M348" s="282">
        <f t="shared" si="90"/>
        <v>30.11</v>
      </c>
      <c r="N348" s="282">
        <f t="shared" si="105"/>
        <v>30.112499999999997</v>
      </c>
      <c r="O348" s="271"/>
      <c r="P348" s="265"/>
      <c r="Q348" s="16">
        <v>2811202380</v>
      </c>
      <c r="R348" t="s">
        <v>768</v>
      </c>
      <c r="S348" s="343">
        <v>40.519999999999996</v>
      </c>
    </row>
    <row r="349" spans="2:20">
      <c r="B349" s="215">
        <v>2810043810</v>
      </c>
      <c r="C349" s="231"/>
      <c r="E349" s="216">
        <f t="shared" si="102"/>
        <v>106.73</v>
      </c>
      <c r="F349" s="216">
        <v>80.05</v>
      </c>
      <c r="G349" s="174" t="s">
        <v>1343</v>
      </c>
      <c r="H349" s="175" t="s">
        <v>1139</v>
      </c>
      <c r="J349" s="49">
        <f t="shared" si="103"/>
        <v>2810043810</v>
      </c>
      <c r="K349" s="217">
        <f t="shared" si="104"/>
        <v>106.73</v>
      </c>
      <c r="L349" s="282">
        <v>57.59</v>
      </c>
      <c r="M349" s="282">
        <f t="shared" si="90"/>
        <v>80.05</v>
      </c>
      <c r="N349" s="282">
        <f t="shared" si="105"/>
        <v>80.047499999999999</v>
      </c>
      <c r="O349" s="271"/>
      <c r="P349" s="261"/>
      <c r="Q349" s="16">
        <v>2811202480</v>
      </c>
      <c r="R349" t="s">
        <v>769</v>
      </c>
      <c r="S349" s="349">
        <v>44</v>
      </c>
    </row>
    <row r="350" spans="2:20">
      <c r="B350" s="215">
        <v>2810053805</v>
      </c>
      <c r="C350" s="231"/>
      <c r="E350" s="216">
        <f t="shared" si="102"/>
        <v>76.78</v>
      </c>
      <c r="F350" s="216">
        <v>57.59</v>
      </c>
      <c r="G350" s="174" t="s">
        <v>1343</v>
      </c>
      <c r="H350" s="175" t="s">
        <v>1139</v>
      </c>
      <c r="J350" s="49">
        <f t="shared" si="103"/>
        <v>2810053805</v>
      </c>
      <c r="K350" s="217">
        <f t="shared" si="104"/>
        <v>76.78</v>
      </c>
      <c r="L350" s="282">
        <v>89.66</v>
      </c>
      <c r="M350" s="282">
        <f t="shared" si="90"/>
        <v>57.59</v>
      </c>
      <c r="N350" s="282">
        <f t="shared" si="105"/>
        <v>57.585000000000001</v>
      </c>
      <c r="O350" s="271"/>
      <c r="P350" s="261"/>
      <c r="Q350" s="16">
        <v>2811202800</v>
      </c>
      <c r="R350" t="s">
        <v>770</v>
      </c>
      <c r="S350" s="343">
        <v>6.24</v>
      </c>
      <c r="T350">
        <v>6.86</v>
      </c>
    </row>
    <row r="351" spans="2:20">
      <c r="B351" s="215">
        <v>2810053810</v>
      </c>
      <c r="C351" s="231"/>
      <c r="E351" s="216">
        <f t="shared" si="102"/>
        <v>158.99</v>
      </c>
      <c r="F351" s="216">
        <v>119.24</v>
      </c>
      <c r="G351" s="174" t="s">
        <v>1343</v>
      </c>
      <c r="H351" s="175" t="s">
        <v>1139</v>
      </c>
      <c r="J351" s="49">
        <f t="shared" si="103"/>
        <v>2810053810</v>
      </c>
      <c r="K351" s="217">
        <f t="shared" si="104"/>
        <v>158.99</v>
      </c>
      <c r="L351" s="282">
        <v>30.11</v>
      </c>
      <c r="M351" s="282">
        <f t="shared" si="90"/>
        <v>119.24</v>
      </c>
      <c r="N351" s="282">
        <f t="shared" si="105"/>
        <v>119.24250000000001</v>
      </c>
      <c r="O351" s="271"/>
      <c r="P351" s="261"/>
      <c r="Q351" s="16">
        <v>2811204000</v>
      </c>
      <c r="R351" t="s">
        <v>771</v>
      </c>
      <c r="S351" s="343">
        <v>59.14</v>
      </c>
    </row>
    <row r="352" spans="2:20">
      <c r="B352" s="215">
        <v>2810063805</v>
      </c>
      <c r="C352" s="231"/>
      <c r="E352" s="216">
        <f t="shared" si="102"/>
        <v>40.15</v>
      </c>
      <c r="F352" s="216">
        <v>30.11</v>
      </c>
      <c r="G352" s="174" t="s">
        <v>1343</v>
      </c>
      <c r="H352" s="175" t="s">
        <v>1139</v>
      </c>
      <c r="J352" s="49">
        <f t="shared" si="103"/>
        <v>2810063805</v>
      </c>
      <c r="K352" s="217">
        <f t="shared" si="104"/>
        <v>40.15</v>
      </c>
      <c r="L352" s="282">
        <v>63.81</v>
      </c>
      <c r="M352" s="282">
        <f t="shared" si="90"/>
        <v>30.11</v>
      </c>
      <c r="N352" s="282">
        <f t="shared" si="105"/>
        <v>30.112499999999997</v>
      </c>
      <c r="O352" s="271"/>
      <c r="P352" s="265"/>
      <c r="Q352" s="16">
        <v>2811204080</v>
      </c>
      <c r="R352" t="s">
        <v>771</v>
      </c>
      <c r="S352" s="343">
        <v>46.65</v>
      </c>
    </row>
    <row r="353" spans="2:19">
      <c r="B353" s="215">
        <v>2810063810</v>
      </c>
      <c r="C353" s="231"/>
      <c r="E353" s="216">
        <f t="shared" si="102"/>
        <v>113.16</v>
      </c>
      <c r="F353" s="216">
        <v>84.87</v>
      </c>
      <c r="G353" s="174" t="s">
        <v>1343</v>
      </c>
      <c r="H353" s="175" t="s">
        <v>1139</v>
      </c>
      <c r="J353" s="49">
        <f t="shared" si="103"/>
        <v>2810063810</v>
      </c>
      <c r="K353" s="217">
        <f t="shared" si="104"/>
        <v>113.16</v>
      </c>
      <c r="L353" s="282">
        <v>45.72</v>
      </c>
      <c r="M353" s="282">
        <f t="shared" si="90"/>
        <v>84.87</v>
      </c>
      <c r="N353" s="282">
        <f t="shared" si="105"/>
        <v>84.87</v>
      </c>
      <c r="O353" s="271"/>
      <c r="P353" s="261"/>
      <c r="Q353" s="16">
        <v>2811204100</v>
      </c>
      <c r="R353" t="s">
        <v>772</v>
      </c>
      <c r="S353" s="343">
        <v>59.14</v>
      </c>
    </row>
    <row r="354" spans="2:19">
      <c r="B354" s="215">
        <v>2810073805</v>
      </c>
      <c r="C354" s="231"/>
      <c r="E354" s="216">
        <f t="shared" si="102"/>
        <v>60.96</v>
      </c>
      <c r="F354" s="216">
        <v>45.72</v>
      </c>
      <c r="G354" s="174" t="s">
        <v>1343</v>
      </c>
      <c r="H354" s="175" t="s">
        <v>1139</v>
      </c>
      <c r="J354" s="49">
        <f t="shared" si="103"/>
        <v>2810073805</v>
      </c>
      <c r="K354" s="217">
        <f t="shared" si="104"/>
        <v>60.96</v>
      </c>
      <c r="L354" s="282">
        <v>81.849999999999994</v>
      </c>
      <c r="M354" s="282">
        <f t="shared" si="90"/>
        <v>45.72</v>
      </c>
      <c r="N354" s="282">
        <f t="shared" si="105"/>
        <v>45.72</v>
      </c>
      <c r="O354" s="271"/>
      <c r="P354" s="265"/>
      <c r="Q354" s="16">
        <v>2811204180</v>
      </c>
      <c r="R354" s="347" t="s">
        <v>772</v>
      </c>
      <c r="S354" s="343">
        <v>49.059999999999995</v>
      </c>
    </row>
    <row r="355" spans="2:19">
      <c r="B355" s="215">
        <v>2810073810</v>
      </c>
      <c r="C355" s="231"/>
      <c r="E355" s="216">
        <f t="shared" si="102"/>
        <v>145.13999999999999</v>
      </c>
      <c r="F355" s="216">
        <v>108.86</v>
      </c>
      <c r="G355" s="174" t="s">
        <v>1343</v>
      </c>
      <c r="H355" s="175" t="s">
        <v>1139</v>
      </c>
      <c r="J355" s="49">
        <f t="shared" si="103"/>
        <v>2810073810</v>
      </c>
      <c r="K355" s="217">
        <f t="shared" si="104"/>
        <v>145.13999999999999</v>
      </c>
      <c r="L355" s="282">
        <v>83.86</v>
      </c>
      <c r="M355" s="282">
        <f t="shared" si="90"/>
        <v>108.86</v>
      </c>
      <c r="N355" s="282">
        <f t="shared" si="105"/>
        <v>108.85499999999999</v>
      </c>
      <c r="O355" s="271"/>
      <c r="P355" s="265"/>
      <c r="Q355" s="16">
        <v>2811204280</v>
      </c>
      <c r="R355" t="s">
        <v>773</v>
      </c>
      <c r="S355" s="343">
        <v>178.79</v>
      </c>
    </row>
    <row r="356" spans="2:19">
      <c r="B356" s="215">
        <v>2810083805</v>
      </c>
      <c r="C356" s="231"/>
      <c r="E356" s="216">
        <f t="shared" si="102"/>
        <v>111.81</v>
      </c>
      <c r="F356" s="216">
        <v>83.86</v>
      </c>
      <c r="G356" s="174" t="s">
        <v>1343</v>
      </c>
      <c r="H356" s="175" t="s">
        <v>1139</v>
      </c>
      <c r="J356" s="49">
        <f t="shared" si="103"/>
        <v>2810083805</v>
      </c>
      <c r="K356" s="217">
        <f t="shared" si="104"/>
        <v>111.81</v>
      </c>
      <c r="L356" s="282">
        <v>183.68</v>
      </c>
      <c r="M356" s="282">
        <f t="shared" si="90"/>
        <v>83.86</v>
      </c>
      <c r="N356" s="282">
        <f t="shared" si="105"/>
        <v>83.857500000000002</v>
      </c>
      <c r="O356" s="271"/>
      <c r="P356" s="265"/>
      <c r="Q356" s="16">
        <v>2811204300</v>
      </c>
      <c r="R356" t="s">
        <v>774</v>
      </c>
      <c r="S356" s="343">
        <v>237.66</v>
      </c>
    </row>
    <row r="357" spans="2:19">
      <c r="B357" s="215">
        <v>2810083810</v>
      </c>
      <c r="C357" s="231"/>
      <c r="E357" s="216">
        <f t="shared" si="102"/>
        <v>244.9</v>
      </c>
      <c r="F357" s="216">
        <v>183.68</v>
      </c>
      <c r="G357" s="174" t="s">
        <v>1343</v>
      </c>
      <c r="H357" s="175" t="s">
        <v>1139</v>
      </c>
      <c r="J357" s="49">
        <f t="shared" si="103"/>
        <v>2810083810</v>
      </c>
      <c r="K357" s="217">
        <f t="shared" si="104"/>
        <v>244.9</v>
      </c>
      <c r="L357" s="282">
        <v>108.34</v>
      </c>
      <c r="M357" s="282">
        <f t="shared" ref="M357:M415" si="106">ROUND(N357,2)</f>
        <v>183.68</v>
      </c>
      <c r="N357" s="282">
        <f t="shared" si="105"/>
        <v>183.67500000000001</v>
      </c>
      <c r="O357" s="271"/>
      <c r="P357" s="265"/>
      <c r="Q357" s="16">
        <v>2811204380</v>
      </c>
      <c r="R357" t="s">
        <v>774</v>
      </c>
      <c r="S357" s="349">
        <v>147.5</v>
      </c>
    </row>
    <row r="358" spans="2:19">
      <c r="B358" s="215">
        <v>2810093805</v>
      </c>
      <c r="C358" s="231"/>
      <c r="E358" s="216">
        <f t="shared" si="102"/>
        <v>144.44999999999999</v>
      </c>
      <c r="F358" s="216">
        <v>108.34</v>
      </c>
      <c r="G358" s="174" t="s">
        <v>1343</v>
      </c>
      <c r="H358" s="175" t="s">
        <v>1139</v>
      </c>
      <c r="J358" s="49">
        <f t="shared" si="103"/>
        <v>2810093805</v>
      </c>
      <c r="K358" s="217">
        <f t="shared" si="104"/>
        <v>144.44999999999999</v>
      </c>
      <c r="L358" s="282">
        <v>226.52</v>
      </c>
      <c r="M358" s="282">
        <f t="shared" si="106"/>
        <v>108.34</v>
      </c>
      <c r="N358" s="282">
        <f t="shared" si="105"/>
        <v>108.33749999999999</v>
      </c>
      <c r="O358" s="271"/>
      <c r="P358" s="261"/>
      <c r="Q358" s="16">
        <v>2811205181</v>
      </c>
      <c r="R358" t="s">
        <v>775</v>
      </c>
      <c r="S358" s="349">
        <v>115.83</v>
      </c>
    </row>
    <row r="359" spans="2:19">
      <c r="B359" s="215">
        <v>2810093810</v>
      </c>
      <c r="C359" s="231"/>
      <c r="E359" s="216">
        <f t="shared" si="102"/>
        <v>302.02</v>
      </c>
      <c r="F359" s="216">
        <v>226.52</v>
      </c>
      <c r="G359" s="174" t="s">
        <v>1343</v>
      </c>
      <c r="H359" s="175" t="s">
        <v>1139</v>
      </c>
      <c r="J359" s="49">
        <f t="shared" si="103"/>
        <v>2810093810</v>
      </c>
      <c r="K359" s="217">
        <f t="shared" si="104"/>
        <v>302.02</v>
      </c>
      <c r="L359" s="282">
        <v>30.72</v>
      </c>
      <c r="M359" s="282">
        <f t="shared" si="106"/>
        <v>226.52</v>
      </c>
      <c r="N359" s="282">
        <f t="shared" si="105"/>
        <v>226.51499999999999</v>
      </c>
      <c r="O359" s="271"/>
      <c r="P359" s="265"/>
      <c r="Q359" s="16">
        <v>2811206100</v>
      </c>
      <c r="R359" t="s">
        <v>732</v>
      </c>
      <c r="S359" s="343">
        <v>109.9</v>
      </c>
    </row>
    <row r="360" spans="2:19">
      <c r="B360" s="215">
        <v>2810103805</v>
      </c>
      <c r="C360" s="231"/>
      <c r="E360" s="216">
        <f t="shared" si="102"/>
        <v>40.96</v>
      </c>
      <c r="F360" s="216">
        <v>30.72</v>
      </c>
      <c r="G360" s="174" t="s">
        <v>1343</v>
      </c>
      <c r="H360" s="175" t="s">
        <v>1139</v>
      </c>
      <c r="J360" s="49">
        <f t="shared" si="103"/>
        <v>2810103805</v>
      </c>
      <c r="K360" s="217">
        <f t="shared" si="104"/>
        <v>40.96</v>
      </c>
      <c r="L360" s="282">
        <v>59.59</v>
      </c>
      <c r="M360" s="282">
        <f t="shared" si="106"/>
        <v>30.72</v>
      </c>
      <c r="N360" s="282">
        <f t="shared" si="105"/>
        <v>30.72</v>
      </c>
      <c r="O360" s="271"/>
      <c r="P360" s="265"/>
      <c r="Q360" s="345">
        <v>2811206200</v>
      </c>
      <c r="R360" t="s">
        <v>1355</v>
      </c>
      <c r="S360" s="343">
        <v>112.84</v>
      </c>
    </row>
    <row r="361" spans="2:19">
      <c r="B361" s="215">
        <v>2810103810</v>
      </c>
      <c r="C361" s="231"/>
      <c r="E361" s="216">
        <f t="shared" si="102"/>
        <v>99.27000000000001</v>
      </c>
      <c r="F361" s="216">
        <v>74.45</v>
      </c>
      <c r="G361" s="174" t="s">
        <v>1343</v>
      </c>
      <c r="H361" s="175" t="s">
        <v>1139</v>
      </c>
      <c r="J361" s="49">
        <f t="shared" si="103"/>
        <v>2810103810</v>
      </c>
      <c r="K361" s="217">
        <f t="shared" si="104"/>
        <v>99.27000000000001</v>
      </c>
      <c r="L361" s="282">
        <v>44.88</v>
      </c>
      <c r="M361" s="282">
        <f t="shared" si="106"/>
        <v>74.45</v>
      </c>
      <c r="N361" s="282">
        <f t="shared" si="105"/>
        <v>74.452500000000015</v>
      </c>
      <c r="O361" s="271"/>
      <c r="P361" s="261"/>
      <c r="Q361" s="16">
        <v>2811206301</v>
      </c>
      <c r="R361" s="347" t="s">
        <v>734</v>
      </c>
      <c r="S361" s="343">
        <v>50.059999999999995</v>
      </c>
    </row>
    <row r="362" spans="2:19">
      <c r="B362" s="215">
        <v>2810113805</v>
      </c>
      <c r="C362" s="231"/>
      <c r="E362" s="216">
        <f t="shared" si="102"/>
        <v>59.84</v>
      </c>
      <c r="F362" s="216">
        <v>44.88</v>
      </c>
      <c r="G362" s="174" t="s">
        <v>1343</v>
      </c>
      <c r="H362" s="175" t="s">
        <v>1139</v>
      </c>
      <c r="J362" s="49">
        <f t="shared" si="103"/>
        <v>2810113805</v>
      </c>
      <c r="K362" s="217">
        <f t="shared" si="104"/>
        <v>59.84</v>
      </c>
      <c r="L362" s="282"/>
      <c r="M362" s="282">
        <f t="shared" si="106"/>
        <v>44.88</v>
      </c>
      <c r="N362" s="282">
        <f t="shared" si="105"/>
        <v>44.88</v>
      </c>
      <c r="O362" s="271"/>
      <c r="P362" s="261"/>
      <c r="Q362" s="16">
        <v>2811206510</v>
      </c>
      <c r="R362" s="347" t="s">
        <v>776</v>
      </c>
      <c r="S362" s="343">
        <v>43.239999999999995</v>
      </c>
    </row>
    <row r="363" spans="2:19">
      <c r="B363" s="215"/>
      <c r="C363" s="231"/>
      <c r="E363" s="216"/>
      <c r="F363" s="216"/>
      <c r="K363" s="217"/>
      <c r="L363" s="282">
        <v>209.44</v>
      </c>
      <c r="M363" s="282"/>
      <c r="N363" s="282"/>
      <c r="O363" s="271"/>
      <c r="P363" s="261"/>
      <c r="Q363" s="16">
        <v>2811206604</v>
      </c>
      <c r="R363" t="s">
        <v>777</v>
      </c>
      <c r="S363" s="343">
        <v>263.44</v>
      </c>
    </row>
    <row r="364" spans="2:19">
      <c r="B364" s="215">
        <v>2810022710</v>
      </c>
      <c r="C364" s="231"/>
      <c r="D364" s="226"/>
      <c r="E364" s="216">
        <f t="shared" si="102"/>
        <v>300.90999999999997</v>
      </c>
      <c r="F364" s="216">
        <v>225.68</v>
      </c>
      <c r="G364" s="174" t="s">
        <v>1351</v>
      </c>
      <c r="H364" s="175" t="s">
        <v>1307</v>
      </c>
      <c r="J364" s="49">
        <f t="shared" ref="J364:J405" si="107">B364*$K$13</f>
        <v>2810022710</v>
      </c>
      <c r="K364" s="217">
        <f t="shared" si="104"/>
        <v>300.90999999999997</v>
      </c>
      <c r="L364" s="282">
        <v>167.13</v>
      </c>
      <c r="M364" s="282">
        <f t="shared" si="106"/>
        <v>225.68</v>
      </c>
      <c r="N364" s="282">
        <f t="shared" ref="N364:N405" si="108">K364*$N$13</f>
        <v>225.68249999999998</v>
      </c>
      <c r="O364" s="271"/>
      <c r="P364" s="265"/>
      <c r="Q364" s="16">
        <v>2811206705</v>
      </c>
      <c r="R364" s="347" t="s">
        <v>778</v>
      </c>
      <c r="S364" s="349">
        <v>104.55000000000001</v>
      </c>
    </row>
    <row r="365" spans="2:19">
      <c r="B365" s="215">
        <v>2810032710</v>
      </c>
      <c r="C365" s="231"/>
      <c r="D365" s="226"/>
      <c r="E365" s="216">
        <f t="shared" si="102"/>
        <v>240.1</v>
      </c>
      <c r="F365" s="216">
        <v>180.08</v>
      </c>
      <c r="G365" s="174" t="s">
        <v>1352</v>
      </c>
      <c r="H365" s="175" t="s">
        <v>1307</v>
      </c>
      <c r="J365" s="49">
        <f t="shared" si="107"/>
        <v>2810032710</v>
      </c>
      <c r="K365" s="217">
        <f t="shared" si="104"/>
        <v>240.1</v>
      </c>
      <c r="L365" s="282">
        <v>25.91</v>
      </c>
      <c r="M365" s="282">
        <f t="shared" si="106"/>
        <v>180.08</v>
      </c>
      <c r="N365" s="282">
        <f t="shared" si="108"/>
        <v>180.07499999999999</v>
      </c>
      <c r="O365" s="271"/>
      <c r="P365" s="265"/>
      <c r="Q365" s="16">
        <v>2811208000</v>
      </c>
      <c r="R365" t="s">
        <v>779</v>
      </c>
      <c r="S365" s="343">
        <v>157.77000000000001</v>
      </c>
    </row>
    <row r="366" spans="2:19">
      <c r="B366" s="215">
        <v>2810806400</v>
      </c>
      <c r="C366" s="231"/>
      <c r="D366" s="226"/>
      <c r="E366" s="216">
        <f t="shared" si="102"/>
        <v>35.589999999999996</v>
      </c>
      <c r="F366" s="216">
        <v>26.69</v>
      </c>
      <c r="G366" s="174" t="s">
        <v>128</v>
      </c>
      <c r="H366" s="175" t="s">
        <v>1307</v>
      </c>
      <c r="J366" s="49">
        <f t="shared" si="107"/>
        <v>2810806400</v>
      </c>
      <c r="K366" s="217">
        <f t="shared" si="104"/>
        <v>35.589999999999996</v>
      </c>
      <c r="L366" s="282">
        <v>34.56</v>
      </c>
      <c r="M366" s="282">
        <f t="shared" si="106"/>
        <v>26.69</v>
      </c>
      <c r="N366" s="282">
        <f t="shared" si="108"/>
        <v>26.692499999999995</v>
      </c>
      <c r="O366" s="271"/>
      <c r="P366" s="265"/>
      <c r="Q366" s="16">
        <v>2811208100</v>
      </c>
      <c r="R366" t="s">
        <v>780</v>
      </c>
      <c r="S366" s="343">
        <v>143.04</v>
      </c>
    </row>
    <row r="367" spans="2:19">
      <c r="B367" s="215">
        <v>2810906400</v>
      </c>
      <c r="C367" s="231"/>
      <c r="D367" s="226"/>
      <c r="E367" s="216">
        <f t="shared" si="102"/>
        <v>47.47</v>
      </c>
      <c r="F367" s="216">
        <v>35.6</v>
      </c>
      <c r="G367" s="174" t="s">
        <v>128</v>
      </c>
      <c r="H367" s="175" t="s">
        <v>1307</v>
      </c>
      <c r="J367" s="49">
        <f t="shared" si="107"/>
        <v>2810906400</v>
      </c>
      <c r="K367" s="217">
        <f t="shared" si="104"/>
        <v>47.47</v>
      </c>
      <c r="L367" s="282">
        <v>39.119999999999997</v>
      </c>
      <c r="M367" s="282">
        <f t="shared" si="106"/>
        <v>35.6</v>
      </c>
      <c r="N367" s="282">
        <f t="shared" si="108"/>
        <v>35.602499999999999</v>
      </c>
      <c r="O367" s="271"/>
      <c r="P367" s="261"/>
      <c r="Q367" s="16">
        <v>2811208200</v>
      </c>
      <c r="R367" t="s">
        <v>781</v>
      </c>
      <c r="S367" s="343">
        <v>128.91</v>
      </c>
    </row>
    <row r="368" spans="2:19">
      <c r="B368" s="215">
        <v>2810000638</v>
      </c>
      <c r="E368" s="216">
        <f t="shared" si="102"/>
        <v>50.47</v>
      </c>
      <c r="F368" s="216">
        <v>37.85</v>
      </c>
      <c r="G368" s="174" t="s">
        <v>1353</v>
      </c>
      <c r="H368" s="175" t="s">
        <v>1307</v>
      </c>
      <c r="J368" s="49">
        <f t="shared" si="107"/>
        <v>2810000638</v>
      </c>
      <c r="K368" s="217">
        <f t="shared" si="104"/>
        <v>50.47</v>
      </c>
      <c r="L368" s="282">
        <v>39.119999999999997</v>
      </c>
      <c r="M368" s="282">
        <f t="shared" si="106"/>
        <v>37.85</v>
      </c>
      <c r="N368" s="282">
        <f t="shared" si="108"/>
        <v>37.852499999999999</v>
      </c>
      <c r="O368" s="271"/>
      <c r="P368" s="261"/>
      <c r="Q368" s="16">
        <v>2811208300</v>
      </c>
      <c r="R368" t="s">
        <v>782</v>
      </c>
      <c r="S368" s="343">
        <v>112.77</v>
      </c>
    </row>
    <row r="369" spans="2:19">
      <c r="B369" s="215">
        <v>2810000738</v>
      </c>
      <c r="E369" s="216">
        <f t="shared" si="102"/>
        <v>50.47</v>
      </c>
      <c r="F369" s="216">
        <v>37.85</v>
      </c>
      <c r="G369" s="174" t="s">
        <v>1354</v>
      </c>
      <c r="H369" s="175" t="s">
        <v>1307</v>
      </c>
      <c r="J369" s="49">
        <f t="shared" si="107"/>
        <v>2810000738</v>
      </c>
      <c r="K369" s="217">
        <f t="shared" si="104"/>
        <v>50.47</v>
      </c>
      <c r="L369" s="282">
        <v>20.87</v>
      </c>
      <c r="M369" s="282">
        <f t="shared" si="106"/>
        <v>37.85</v>
      </c>
      <c r="N369" s="282">
        <f t="shared" si="108"/>
        <v>37.852499999999999</v>
      </c>
      <c r="O369" s="271"/>
      <c r="P369" s="265"/>
      <c r="Q369" s="16">
        <v>2811208400</v>
      </c>
      <c r="R369" t="s">
        <v>783</v>
      </c>
      <c r="S369" s="343">
        <v>184.99</v>
      </c>
    </row>
    <row r="370" spans="2:19">
      <c r="B370" s="215">
        <v>1310072363</v>
      </c>
      <c r="C370" s="231"/>
      <c r="E370" s="216">
        <f t="shared" si="102"/>
        <v>31.17</v>
      </c>
      <c r="F370" s="216">
        <v>23.38</v>
      </c>
      <c r="G370" s="174" t="s">
        <v>1356</v>
      </c>
      <c r="H370" s="175" t="s">
        <v>1139</v>
      </c>
      <c r="J370" s="49">
        <f t="shared" si="107"/>
        <v>1310072363</v>
      </c>
      <c r="K370" s="217">
        <f t="shared" si="104"/>
        <v>31.17</v>
      </c>
      <c r="L370" s="282">
        <v>21.64</v>
      </c>
      <c r="M370" s="282">
        <f t="shared" si="106"/>
        <v>23.38</v>
      </c>
      <c r="N370" s="282">
        <f t="shared" si="108"/>
        <v>23.377500000000001</v>
      </c>
      <c r="O370" s="271"/>
      <c r="P370" s="265"/>
      <c r="Q370" s="16">
        <v>2811208700</v>
      </c>
      <c r="R370" t="s">
        <v>784</v>
      </c>
      <c r="S370" s="343">
        <v>243.08</v>
      </c>
    </row>
    <row r="371" spans="2:19">
      <c r="B371" s="215">
        <v>1310072884</v>
      </c>
      <c r="C371" s="231"/>
      <c r="E371" s="216">
        <f t="shared" si="102"/>
        <v>28.89</v>
      </c>
      <c r="F371" s="216">
        <v>21.67</v>
      </c>
      <c r="G371" s="174" t="s">
        <v>1357</v>
      </c>
      <c r="H371" s="175" t="s">
        <v>1139</v>
      </c>
      <c r="J371" s="49">
        <f t="shared" si="107"/>
        <v>1310072884</v>
      </c>
      <c r="K371" s="217">
        <f t="shared" si="104"/>
        <v>28.89</v>
      </c>
      <c r="L371" s="282">
        <v>13.59</v>
      </c>
      <c r="M371" s="282">
        <f t="shared" si="106"/>
        <v>21.67</v>
      </c>
      <c r="N371" s="282">
        <f t="shared" si="108"/>
        <v>21.6675</v>
      </c>
      <c r="O371" s="271"/>
      <c r="P371" s="261"/>
      <c r="Q371" s="16">
        <v>2811210780</v>
      </c>
      <c r="R371" t="s">
        <v>785</v>
      </c>
      <c r="S371" s="349">
        <v>44.43</v>
      </c>
    </row>
    <row r="372" spans="2:19">
      <c r="B372" s="215">
        <v>1310072282</v>
      </c>
      <c r="C372" s="231"/>
      <c r="E372" s="216">
        <f t="shared" si="102"/>
        <v>22.48</v>
      </c>
      <c r="F372" s="216">
        <v>16.86</v>
      </c>
      <c r="G372" s="174" t="s">
        <v>1358</v>
      </c>
      <c r="H372" s="175" t="s">
        <v>1139</v>
      </c>
      <c r="J372" s="49">
        <f t="shared" si="107"/>
        <v>1310072282</v>
      </c>
      <c r="K372" s="217">
        <f t="shared" ref="K372:K403" si="109">VLOOKUP(J372,$Q$14:$S$1164,3,FALSE)</f>
        <v>22.48</v>
      </c>
      <c r="L372" s="282">
        <v>25.63</v>
      </c>
      <c r="M372" s="282">
        <f t="shared" si="106"/>
        <v>16.86</v>
      </c>
      <c r="N372" s="282">
        <f t="shared" si="108"/>
        <v>16.86</v>
      </c>
      <c r="O372" s="271"/>
      <c r="P372" s="265"/>
      <c r="Q372" s="16">
        <v>2811210880</v>
      </c>
      <c r="R372" t="s">
        <v>786</v>
      </c>
      <c r="S372" s="343">
        <v>115.51</v>
      </c>
    </row>
    <row r="373" spans="2:19">
      <c r="B373" s="215">
        <v>1310072283</v>
      </c>
      <c r="C373" s="231"/>
      <c r="E373" s="216">
        <f t="shared" si="102"/>
        <v>41</v>
      </c>
      <c r="F373" s="216">
        <v>30.75</v>
      </c>
      <c r="G373" s="174" t="s">
        <v>490</v>
      </c>
      <c r="H373" s="175" t="s">
        <v>1139</v>
      </c>
      <c r="J373" s="49">
        <f t="shared" si="107"/>
        <v>1310072283</v>
      </c>
      <c r="K373" s="217">
        <f t="shared" si="109"/>
        <v>41</v>
      </c>
      <c r="L373" s="282">
        <v>31.84</v>
      </c>
      <c r="M373" s="282">
        <f t="shared" si="106"/>
        <v>30.75</v>
      </c>
      <c r="N373" s="282">
        <f t="shared" si="108"/>
        <v>30.75</v>
      </c>
      <c r="O373" s="271"/>
      <c r="P373" s="261"/>
      <c r="Q373" s="16">
        <v>2811210980</v>
      </c>
      <c r="R373" t="s">
        <v>787</v>
      </c>
      <c r="S373" s="343">
        <v>91.7</v>
      </c>
    </row>
    <row r="374" spans="2:19">
      <c r="B374" s="215">
        <v>1310072284</v>
      </c>
      <c r="C374" s="231"/>
      <c r="E374" s="216">
        <f t="shared" si="102"/>
        <v>47.54</v>
      </c>
      <c r="F374" s="216">
        <v>35.659999999999997</v>
      </c>
      <c r="G374" s="174" t="s">
        <v>1359</v>
      </c>
      <c r="H374" s="175" t="s">
        <v>1139</v>
      </c>
      <c r="J374" s="49">
        <f t="shared" si="107"/>
        <v>1310072284</v>
      </c>
      <c r="K374" s="217">
        <f t="shared" si="109"/>
        <v>47.54</v>
      </c>
      <c r="L374" s="282">
        <v>52.79</v>
      </c>
      <c r="M374" s="282">
        <f t="shared" si="106"/>
        <v>35.659999999999997</v>
      </c>
      <c r="N374" s="282">
        <f t="shared" si="108"/>
        <v>35.655000000000001</v>
      </c>
      <c r="O374" s="271"/>
      <c r="P374" s="261"/>
      <c r="Q374" s="16">
        <v>2811211080</v>
      </c>
      <c r="R374" t="s">
        <v>788</v>
      </c>
      <c r="S374" s="349">
        <v>35.64</v>
      </c>
    </row>
    <row r="375" spans="2:19">
      <c r="B375" s="215">
        <v>1310072378</v>
      </c>
      <c r="C375" s="231"/>
      <c r="E375" s="216">
        <f t="shared" si="102"/>
        <v>78.53</v>
      </c>
      <c r="F375" s="216">
        <v>58.9</v>
      </c>
      <c r="G375" s="174" t="s">
        <v>1360</v>
      </c>
      <c r="H375" s="175" t="s">
        <v>1139</v>
      </c>
      <c r="J375" s="49">
        <f t="shared" si="107"/>
        <v>1310072378</v>
      </c>
      <c r="K375" s="217">
        <f t="shared" si="109"/>
        <v>78.53</v>
      </c>
      <c r="L375" s="282">
        <v>56.57</v>
      </c>
      <c r="M375" s="282">
        <f t="shared" si="106"/>
        <v>58.9</v>
      </c>
      <c r="N375" s="282">
        <f t="shared" si="108"/>
        <v>58.897500000000001</v>
      </c>
      <c r="O375" s="271"/>
      <c r="P375" s="261"/>
      <c r="Q375" s="16">
        <v>2811211880</v>
      </c>
      <c r="R375" t="s">
        <v>789</v>
      </c>
      <c r="S375" s="349">
        <v>43.379999999999995</v>
      </c>
    </row>
    <row r="376" spans="2:19">
      <c r="B376" s="215">
        <v>1310072286</v>
      </c>
      <c r="C376" s="231"/>
      <c r="E376" s="216">
        <f t="shared" si="102"/>
        <v>91.16</v>
      </c>
      <c r="F376" s="216">
        <v>68.37</v>
      </c>
      <c r="G376" s="174" t="s">
        <v>1361</v>
      </c>
      <c r="H376" s="175" t="s">
        <v>1139</v>
      </c>
      <c r="J376" s="49">
        <f t="shared" si="107"/>
        <v>1310072286</v>
      </c>
      <c r="K376" s="217">
        <f t="shared" si="109"/>
        <v>91.16</v>
      </c>
      <c r="L376" s="282">
        <v>176.25</v>
      </c>
      <c r="M376" s="282">
        <f t="shared" si="106"/>
        <v>68.37</v>
      </c>
      <c r="N376" s="282">
        <f t="shared" si="108"/>
        <v>68.37</v>
      </c>
      <c r="O376" s="271"/>
      <c r="P376" s="261"/>
      <c r="Q376" s="16">
        <v>2811211980</v>
      </c>
      <c r="R376" t="s">
        <v>790</v>
      </c>
      <c r="S376" s="343">
        <v>75.13000000000001</v>
      </c>
    </row>
    <row r="377" spans="2:19">
      <c r="B377" s="215">
        <v>1310072287</v>
      </c>
      <c r="C377" s="231"/>
      <c r="E377" s="216">
        <f t="shared" si="102"/>
        <v>267.89999999999998</v>
      </c>
      <c r="F377" s="216">
        <v>200.93</v>
      </c>
      <c r="G377" s="174" t="s">
        <v>1362</v>
      </c>
      <c r="H377" s="175" t="s">
        <v>1139</v>
      </c>
      <c r="J377" s="49">
        <f t="shared" si="107"/>
        <v>1310072287</v>
      </c>
      <c r="K377" s="217">
        <f t="shared" si="109"/>
        <v>267.89999999999998</v>
      </c>
      <c r="L377" s="282">
        <v>232.15</v>
      </c>
      <c r="M377" s="282">
        <f t="shared" si="106"/>
        <v>200.93</v>
      </c>
      <c r="N377" s="282">
        <f t="shared" si="108"/>
        <v>200.92499999999998</v>
      </c>
      <c r="O377" s="271"/>
      <c r="P377" s="261"/>
      <c r="Q377" s="16">
        <v>2811212080</v>
      </c>
      <c r="R377" t="s">
        <v>791</v>
      </c>
      <c r="S377" s="343">
        <v>55.669999999999995</v>
      </c>
    </row>
    <row r="378" spans="2:19">
      <c r="B378" s="215">
        <v>1310072288</v>
      </c>
      <c r="C378" s="231"/>
      <c r="E378" s="216">
        <f t="shared" si="102"/>
        <v>309.52999999999997</v>
      </c>
      <c r="F378" s="216">
        <v>232.15</v>
      </c>
      <c r="G378" s="174" t="s">
        <v>1158</v>
      </c>
      <c r="H378" s="175" t="s">
        <v>1139</v>
      </c>
      <c r="J378" s="49">
        <f t="shared" si="107"/>
        <v>1310072288</v>
      </c>
      <c r="K378" s="217">
        <f t="shared" si="109"/>
        <v>309.52999999999997</v>
      </c>
      <c r="L378" s="282">
        <v>738.44</v>
      </c>
      <c r="M378" s="282">
        <f t="shared" si="106"/>
        <v>232.15</v>
      </c>
      <c r="N378" s="282">
        <f t="shared" si="108"/>
        <v>232.14749999999998</v>
      </c>
      <c r="O378" s="271"/>
      <c r="P378" s="261"/>
      <c r="Q378" s="16">
        <v>2811212180</v>
      </c>
      <c r="R378" t="s">
        <v>792</v>
      </c>
      <c r="S378" s="349">
        <v>35.479999999999997</v>
      </c>
    </row>
    <row r="379" spans="2:19">
      <c r="B379" s="215">
        <v>1310072289</v>
      </c>
      <c r="C379" s="231"/>
      <c r="E379" s="216">
        <f t="shared" si="102"/>
        <v>984.59</v>
      </c>
      <c r="F379" s="216">
        <v>738.44</v>
      </c>
      <c r="G379" s="174" t="s">
        <v>491</v>
      </c>
      <c r="H379" s="175" t="s">
        <v>1139</v>
      </c>
      <c r="J379" s="49">
        <f t="shared" si="107"/>
        <v>1310072289</v>
      </c>
      <c r="K379" s="217">
        <f t="shared" si="109"/>
        <v>984.59</v>
      </c>
      <c r="L379" s="282">
        <v>463.96</v>
      </c>
      <c r="M379" s="282">
        <f t="shared" si="106"/>
        <v>738.44</v>
      </c>
      <c r="N379" s="282">
        <f t="shared" si="108"/>
        <v>738.4425</v>
      </c>
      <c r="O379" s="271"/>
      <c r="P379" s="261"/>
      <c r="Q379" s="16">
        <v>2811212220</v>
      </c>
      <c r="R379" t="s">
        <v>793</v>
      </c>
      <c r="S379" s="349">
        <v>51.239999999999995</v>
      </c>
    </row>
    <row r="380" spans="2:19">
      <c r="B380" s="215">
        <v>1310072293</v>
      </c>
      <c r="C380" s="231"/>
      <c r="E380" s="216">
        <f t="shared" si="102"/>
        <v>618.61</v>
      </c>
      <c r="F380" s="216">
        <v>463.96</v>
      </c>
      <c r="G380" s="174" t="s">
        <v>492</v>
      </c>
      <c r="H380" s="175" t="s">
        <v>1139</v>
      </c>
      <c r="J380" s="49">
        <f t="shared" si="107"/>
        <v>1310072293</v>
      </c>
      <c r="K380" s="217">
        <f t="shared" si="109"/>
        <v>618.61</v>
      </c>
      <c r="L380" s="282">
        <v>614.72</v>
      </c>
      <c r="M380" s="282">
        <f t="shared" si="106"/>
        <v>463.96</v>
      </c>
      <c r="N380" s="282">
        <f t="shared" si="108"/>
        <v>463.95749999999998</v>
      </c>
      <c r="O380" s="271"/>
      <c r="P380" s="261"/>
      <c r="Q380" s="16">
        <v>2811221380</v>
      </c>
      <c r="R380" t="s">
        <v>794</v>
      </c>
      <c r="S380" s="343">
        <v>195.51</v>
      </c>
    </row>
    <row r="381" spans="2:19">
      <c r="B381" s="215">
        <v>1310072294</v>
      </c>
      <c r="C381" s="231"/>
      <c r="E381" s="216">
        <f t="shared" si="102"/>
        <v>947.89</v>
      </c>
      <c r="F381" s="216">
        <v>710.92</v>
      </c>
      <c r="G381" s="174" t="s">
        <v>1363</v>
      </c>
      <c r="H381" s="175" t="s">
        <v>1139</v>
      </c>
      <c r="J381" s="49">
        <f t="shared" si="107"/>
        <v>1310072294</v>
      </c>
      <c r="K381" s="217">
        <f t="shared" si="109"/>
        <v>947.89</v>
      </c>
      <c r="L381" s="282">
        <v>453.73</v>
      </c>
      <c r="M381" s="282">
        <f t="shared" si="106"/>
        <v>710.92</v>
      </c>
      <c r="N381" s="282">
        <f t="shared" si="108"/>
        <v>710.91750000000002</v>
      </c>
      <c r="O381" s="271"/>
      <c r="P381" s="265"/>
      <c r="Q381" s="16">
        <v>2811221480</v>
      </c>
      <c r="R381" t="s">
        <v>795</v>
      </c>
      <c r="S381" s="349">
        <v>95.03</v>
      </c>
    </row>
    <row r="382" spans="2:19">
      <c r="B382" s="215">
        <v>1310072295</v>
      </c>
      <c r="C382" s="231"/>
      <c r="E382" s="216">
        <f t="shared" si="102"/>
        <v>604.97</v>
      </c>
      <c r="F382" s="216">
        <v>453.73</v>
      </c>
      <c r="G382" s="174" t="s">
        <v>1364</v>
      </c>
      <c r="H382" s="175" t="s">
        <v>1139</v>
      </c>
      <c r="J382" s="49">
        <f t="shared" si="107"/>
        <v>1310072295</v>
      </c>
      <c r="K382" s="217">
        <f t="shared" si="109"/>
        <v>604.97</v>
      </c>
      <c r="L382" s="282">
        <v>410.78</v>
      </c>
      <c r="M382" s="282">
        <f t="shared" si="106"/>
        <v>453.73</v>
      </c>
      <c r="N382" s="282">
        <f t="shared" si="108"/>
        <v>453.72750000000002</v>
      </c>
      <c r="O382" s="271"/>
      <c r="P382" s="261"/>
      <c r="Q382" s="16">
        <v>2811221780</v>
      </c>
      <c r="R382" t="s">
        <v>796</v>
      </c>
      <c r="S382" s="343">
        <v>49.35</v>
      </c>
    </row>
    <row r="383" spans="2:19">
      <c r="B383" s="215">
        <v>1310072373</v>
      </c>
      <c r="C383" s="231"/>
      <c r="E383" s="216">
        <f t="shared" si="102"/>
        <v>597.54</v>
      </c>
      <c r="F383" s="216">
        <v>448.16</v>
      </c>
      <c r="G383" s="174" t="s">
        <v>1365</v>
      </c>
      <c r="H383" s="175" t="s">
        <v>1139</v>
      </c>
      <c r="J383" s="49">
        <f t="shared" si="107"/>
        <v>1310072373</v>
      </c>
      <c r="K383" s="217">
        <f t="shared" si="109"/>
        <v>597.54</v>
      </c>
      <c r="L383" s="282">
        <v>535.34</v>
      </c>
      <c r="M383" s="282">
        <f t="shared" si="106"/>
        <v>448.16</v>
      </c>
      <c r="N383" s="282">
        <f t="shared" si="108"/>
        <v>448.15499999999997</v>
      </c>
      <c r="O383" s="271"/>
      <c r="P383" s="261"/>
      <c r="Q383" s="16">
        <v>2811221880</v>
      </c>
      <c r="R383" t="s">
        <v>797</v>
      </c>
      <c r="S383" s="349">
        <v>59.239999999999995</v>
      </c>
    </row>
    <row r="384" spans="2:19">
      <c r="B384" s="215">
        <v>1310072374</v>
      </c>
      <c r="C384" s="231"/>
      <c r="E384" s="216">
        <f t="shared" si="102"/>
        <v>713.79</v>
      </c>
      <c r="F384" s="216">
        <v>535.34</v>
      </c>
      <c r="G384" s="174" t="s">
        <v>1366</v>
      </c>
      <c r="H384" s="175" t="s">
        <v>1139</v>
      </c>
      <c r="J384" s="49">
        <f t="shared" si="107"/>
        <v>1310072374</v>
      </c>
      <c r="K384" s="217">
        <f t="shared" si="109"/>
        <v>713.79</v>
      </c>
      <c r="L384" s="282">
        <v>63.53</v>
      </c>
      <c r="M384" s="282">
        <f t="shared" si="106"/>
        <v>535.34</v>
      </c>
      <c r="N384" s="282">
        <f t="shared" si="108"/>
        <v>535.34249999999997</v>
      </c>
      <c r="O384" s="271"/>
      <c r="P384" s="265"/>
      <c r="Q384" s="16">
        <v>2811225281</v>
      </c>
      <c r="R384" t="s">
        <v>798</v>
      </c>
      <c r="S384" s="343">
        <v>116.33</v>
      </c>
    </row>
    <row r="385" spans="2:19">
      <c r="B385" s="215">
        <v>1310072296</v>
      </c>
      <c r="C385" s="231"/>
      <c r="E385" s="216">
        <f t="shared" si="102"/>
        <v>81.99</v>
      </c>
      <c r="F385" s="216">
        <v>61.49</v>
      </c>
      <c r="G385" s="174" t="s">
        <v>1367</v>
      </c>
      <c r="H385" s="175" t="s">
        <v>1139</v>
      </c>
      <c r="J385" s="49">
        <f t="shared" si="107"/>
        <v>1310072296</v>
      </c>
      <c r="K385" s="217">
        <f t="shared" si="109"/>
        <v>81.99</v>
      </c>
      <c r="L385" s="282">
        <v>132.84</v>
      </c>
      <c r="M385" s="282">
        <f t="shared" si="106"/>
        <v>61.49</v>
      </c>
      <c r="N385" s="282">
        <f t="shared" si="108"/>
        <v>61.492499999999993</v>
      </c>
      <c r="O385" s="271"/>
      <c r="P385" s="265"/>
      <c r="Q385" s="16">
        <v>2811225381</v>
      </c>
      <c r="R385" t="s">
        <v>799</v>
      </c>
      <c r="S385" s="349">
        <v>119.01</v>
      </c>
    </row>
    <row r="386" spans="2:19">
      <c r="B386" s="215">
        <v>1310072297</v>
      </c>
      <c r="C386" s="231"/>
      <c r="E386" s="216">
        <f t="shared" si="102"/>
        <v>177.12</v>
      </c>
      <c r="F386" s="216">
        <v>132.84</v>
      </c>
      <c r="G386" s="174" t="s">
        <v>496</v>
      </c>
      <c r="H386" s="175" t="s">
        <v>1139</v>
      </c>
      <c r="J386" s="49">
        <f t="shared" si="107"/>
        <v>1310072297</v>
      </c>
      <c r="K386" s="217">
        <f t="shared" si="109"/>
        <v>177.12</v>
      </c>
      <c r="L386" s="282">
        <v>30.96</v>
      </c>
      <c r="M386" s="282">
        <f t="shared" si="106"/>
        <v>132.84</v>
      </c>
      <c r="N386" s="282">
        <f t="shared" si="108"/>
        <v>132.84</v>
      </c>
      <c r="O386" s="271"/>
      <c r="P386" s="265"/>
      <c r="Q386" s="16">
        <v>2811227600</v>
      </c>
      <c r="R386" t="s">
        <v>800</v>
      </c>
      <c r="S386" s="343">
        <v>37.25</v>
      </c>
    </row>
    <row r="387" spans="2:19">
      <c r="B387" s="215">
        <v>1310072290</v>
      </c>
      <c r="C387" s="231"/>
      <c r="E387" s="216">
        <f t="shared" si="102"/>
        <v>41.28</v>
      </c>
      <c r="F387" s="216">
        <v>30.96</v>
      </c>
      <c r="G387" s="174" t="s">
        <v>1161</v>
      </c>
      <c r="H387" s="175" t="s">
        <v>1139</v>
      </c>
      <c r="J387" s="49">
        <f t="shared" si="107"/>
        <v>1310072290</v>
      </c>
      <c r="K387" s="217">
        <f t="shared" si="109"/>
        <v>41.28</v>
      </c>
      <c r="L387" s="282">
        <v>35.67</v>
      </c>
      <c r="M387" s="282">
        <f t="shared" si="106"/>
        <v>30.96</v>
      </c>
      <c r="N387" s="282">
        <f t="shared" si="108"/>
        <v>30.96</v>
      </c>
      <c r="O387" s="271"/>
      <c r="P387" s="265"/>
      <c r="Q387" s="16">
        <v>2811227700</v>
      </c>
      <c r="R387" t="s">
        <v>801</v>
      </c>
      <c r="S387" s="343">
        <v>34.01</v>
      </c>
    </row>
    <row r="388" spans="2:19">
      <c r="B388" s="215">
        <v>1310072292</v>
      </c>
      <c r="C388" s="231"/>
      <c r="E388" s="216">
        <f t="shared" si="102"/>
        <v>47.56</v>
      </c>
      <c r="F388" s="216">
        <v>35.67</v>
      </c>
      <c r="G388" s="174" t="s">
        <v>1368</v>
      </c>
      <c r="H388" s="175" t="s">
        <v>1139</v>
      </c>
      <c r="J388" s="49">
        <f t="shared" si="107"/>
        <v>1310072292</v>
      </c>
      <c r="K388" s="217">
        <f t="shared" si="109"/>
        <v>47.56</v>
      </c>
      <c r="L388" s="282">
        <v>35.08</v>
      </c>
      <c r="M388" s="282">
        <f t="shared" si="106"/>
        <v>35.67</v>
      </c>
      <c r="N388" s="282">
        <f t="shared" si="108"/>
        <v>35.67</v>
      </c>
      <c r="O388" s="271"/>
      <c r="P388" s="265"/>
      <c r="Q388" s="16">
        <v>2811227800</v>
      </c>
      <c r="R388" t="s">
        <v>802</v>
      </c>
      <c r="S388" s="343">
        <v>25.540000000000003</v>
      </c>
    </row>
    <row r="389" spans="2:19">
      <c r="B389" s="215">
        <v>1310256082</v>
      </c>
      <c r="C389" s="231"/>
      <c r="E389" s="216">
        <f t="shared" si="102"/>
        <v>46.77</v>
      </c>
      <c r="F389" s="216">
        <v>35.08</v>
      </c>
      <c r="G389" s="174" t="s">
        <v>1369</v>
      </c>
      <c r="H389" s="175" t="s">
        <v>1139</v>
      </c>
      <c r="J389" s="49">
        <f t="shared" si="107"/>
        <v>1310256082</v>
      </c>
      <c r="K389" s="217">
        <f t="shared" si="109"/>
        <v>46.77</v>
      </c>
      <c r="L389" s="282">
        <v>28.7</v>
      </c>
      <c r="M389" s="282">
        <f t="shared" si="106"/>
        <v>35.08</v>
      </c>
      <c r="N389" s="282">
        <f t="shared" si="108"/>
        <v>35.077500000000001</v>
      </c>
      <c r="O389" s="271"/>
      <c r="P389" s="265"/>
      <c r="Q389" s="16">
        <v>2811227900</v>
      </c>
      <c r="R389" t="s">
        <v>552</v>
      </c>
      <c r="S389" s="343">
        <v>45.059999999999995</v>
      </c>
    </row>
    <row r="390" spans="2:19">
      <c r="B390" s="215">
        <v>1310256514</v>
      </c>
      <c r="C390" s="231"/>
      <c r="E390" s="216">
        <f t="shared" si="102"/>
        <v>38.270000000000003</v>
      </c>
      <c r="F390" s="216">
        <v>28.7</v>
      </c>
      <c r="G390" s="174" t="s">
        <v>1370</v>
      </c>
      <c r="H390" s="175" t="s">
        <v>1139</v>
      </c>
      <c r="J390" s="49">
        <f t="shared" si="107"/>
        <v>1310256514</v>
      </c>
      <c r="K390" s="217">
        <f t="shared" si="109"/>
        <v>38.270000000000003</v>
      </c>
      <c r="L390" s="282">
        <v>26.13</v>
      </c>
      <c r="M390" s="282">
        <f t="shared" si="106"/>
        <v>28.7</v>
      </c>
      <c r="N390" s="282">
        <f t="shared" si="108"/>
        <v>28.702500000000001</v>
      </c>
      <c r="O390" s="271"/>
      <c r="P390" s="265"/>
      <c r="Q390" s="16">
        <v>2811337800</v>
      </c>
      <c r="R390" t="s">
        <v>803</v>
      </c>
      <c r="S390" s="343">
        <v>39.32</v>
      </c>
    </row>
    <row r="391" spans="2:19">
      <c r="B391" s="215">
        <v>1310256325</v>
      </c>
      <c r="C391" s="231"/>
      <c r="E391" s="216">
        <f t="shared" si="102"/>
        <v>34.869999999999997</v>
      </c>
      <c r="F391" s="216">
        <v>26.15</v>
      </c>
      <c r="G391" s="174" t="s">
        <v>519</v>
      </c>
      <c r="H391" s="175" t="s">
        <v>1139</v>
      </c>
      <c r="J391" s="49">
        <f t="shared" si="107"/>
        <v>1310256325</v>
      </c>
      <c r="K391" s="217">
        <f t="shared" si="109"/>
        <v>34.869999999999997</v>
      </c>
      <c r="L391" s="282">
        <v>12.15</v>
      </c>
      <c r="M391" s="282">
        <f t="shared" si="106"/>
        <v>26.15</v>
      </c>
      <c r="N391" s="282">
        <f t="shared" si="108"/>
        <v>26.152499999999996</v>
      </c>
      <c r="O391" s="271"/>
      <c r="P391" s="265"/>
      <c r="Q391" s="16">
        <v>2811337900</v>
      </c>
      <c r="R391" t="s">
        <v>804</v>
      </c>
      <c r="S391" s="343">
        <v>46.32</v>
      </c>
    </row>
    <row r="392" spans="2:19">
      <c r="B392" s="215">
        <v>1310201169</v>
      </c>
      <c r="C392" s="231"/>
      <c r="E392" s="216">
        <f t="shared" si="102"/>
        <v>16.2</v>
      </c>
      <c r="F392" s="216">
        <v>12.15</v>
      </c>
      <c r="G392" s="174" t="s">
        <v>1371</v>
      </c>
      <c r="H392" s="175" t="s">
        <v>1139</v>
      </c>
      <c r="J392" s="49">
        <f t="shared" si="107"/>
        <v>1310201169</v>
      </c>
      <c r="K392" s="217">
        <f t="shared" si="109"/>
        <v>16.2</v>
      </c>
      <c r="L392" s="282">
        <v>5.48</v>
      </c>
      <c r="M392" s="282">
        <f t="shared" si="106"/>
        <v>12.15</v>
      </c>
      <c r="N392" s="282">
        <f t="shared" si="108"/>
        <v>12.149999999999999</v>
      </c>
      <c r="O392" s="271"/>
      <c r="P392" s="265"/>
      <c r="Q392" s="16">
        <v>2811400000</v>
      </c>
      <c r="R392" t="s">
        <v>805</v>
      </c>
      <c r="S392" s="349">
        <v>161.22999999999999</v>
      </c>
    </row>
    <row r="393" spans="2:19">
      <c r="B393" s="215">
        <v>1310072403</v>
      </c>
      <c r="C393" s="231"/>
      <c r="E393" s="216">
        <f t="shared" si="102"/>
        <v>9.7100000000000009</v>
      </c>
      <c r="F393" s="216">
        <v>7.28</v>
      </c>
      <c r="G393" s="174" t="s">
        <v>506</v>
      </c>
      <c r="H393" s="175" t="s">
        <v>1139</v>
      </c>
      <c r="J393" s="49">
        <f t="shared" si="107"/>
        <v>1310072403</v>
      </c>
      <c r="K393" s="217">
        <f t="shared" si="109"/>
        <v>9.7100000000000009</v>
      </c>
      <c r="L393" s="282">
        <v>4.5199999999999996</v>
      </c>
      <c r="M393" s="282">
        <f t="shared" si="106"/>
        <v>7.28</v>
      </c>
      <c r="N393" s="282">
        <f t="shared" si="108"/>
        <v>7.2825000000000006</v>
      </c>
      <c r="O393" s="271"/>
      <c r="P393" s="265"/>
      <c r="Q393" s="16">
        <v>2811400112</v>
      </c>
      <c r="R393" t="s">
        <v>806</v>
      </c>
      <c r="S393" s="343">
        <v>71.34</v>
      </c>
    </row>
    <row r="394" spans="2:19">
      <c r="B394" s="215">
        <v>1310203228</v>
      </c>
      <c r="C394" s="231"/>
      <c r="E394" s="216">
        <f t="shared" si="102"/>
        <v>6.02</v>
      </c>
      <c r="F394" s="216">
        <v>4.5199999999999996</v>
      </c>
      <c r="G394" s="174" t="s">
        <v>1372</v>
      </c>
      <c r="H394" s="175" t="s">
        <v>1139</v>
      </c>
      <c r="J394" s="49">
        <f t="shared" si="107"/>
        <v>1310203228</v>
      </c>
      <c r="K394" s="217">
        <f t="shared" si="109"/>
        <v>6.02</v>
      </c>
      <c r="L394" s="282">
        <v>2.91</v>
      </c>
      <c r="M394" s="282">
        <f t="shared" si="106"/>
        <v>4.5199999999999996</v>
      </c>
      <c r="N394" s="282">
        <f t="shared" si="108"/>
        <v>4.5149999999999997</v>
      </c>
      <c r="O394" s="271"/>
      <c r="P394" s="261"/>
      <c r="Q394" s="16">
        <v>2811400280</v>
      </c>
      <c r="R394" t="s">
        <v>807</v>
      </c>
      <c r="S394" s="349">
        <v>58.14</v>
      </c>
    </row>
    <row r="395" spans="2:19">
      <c r="B395" s="215">
        <v>1312100325</v>
      </c>
      <c r="C395" s="231"/>
      <c r="E395" s="216">
        <f t="shared" si="102"/>
        <v>3.79</v>
      </c>
      <c r="F395" s="216">
        <v>2.84</v>
      </c>
      <c r="G395" s="174" t="s">
        <v>1373</v>
      </c>
      <c r="H395" s="175" t="s">
        <v>1139</v>
      </c>
      <c r="J395" s="49">
        <f t="shared" si="107"/>
        <v>1312100325</v>
      </c>
      <c r="K395" s="217">
        <f t="shared" si="109"/>
        <v>3.79</v>
      </c>
      <c r="L395" s="282">
        <v>1.82</v>
      </c>
      <c r="M395" s="282">
        <f t="shared" si="106"/>
        <v>2.84</v>
      </c>
      <c r="N395" s="282">
        <f t="shared" si="108"/>
        <v>2.8425000000000002</v>
      </c>
      <c r="O395" s="271"/>
      <c r="P395" s="265"/>
      <c r="Q395" s="16">
        <v>2811400290</v>
      </c>
      <c r="R395" t="s">
        <v>808</v>
      </c>
      <c r="S395" s="343">
        <v>65.820000000000007</v>
      </c>
    </row>
    <row r="396" spans="2:19">
      <c r="B396" s="215">
        <v>1312100326</v>
      </c>
      <c r="C396" s="231"/>
      <c r="E396" s="216">
        <f t="shared" si="102"/>
        <v>2.79</v>
      </c>
      <c r="F396" s="216">
        <v>2.09</v>
      </c>
      <c r="G396" s="174" t="s">
        <v>1374</v>
      </c>
      <c r="H396" s="175" t="s">
        <v>1139</v>
      </c>
      <c r="J396" s="49">
        <f t="shared" si="107"/>
        <v>1312100326</v>
      </c>
      <c r="K396" s="217">
        <f t="shared" si="109"/>
        <v>2.79</v>
      </c>
      <c r="L396" s="282">
        <v>5.69</v>
      </c>
      <c r="M396" s="282">
        <f t="shared" si="106"/>
        <v>2.09</v>
      </c>
      <c r="N396" s="282">
        <f t="shared" si="108"/>
        <v>2.0925000000000002</v>
      </c>
      <c r="O396" s="271"/>
      <c r="P396" s="265"/>
      <c r="Q396" s="16">
        <v>2811400380</v>
      </c>
      <c r="R396" t="s">
        <v>809</v>
      </c>
      <c r="S396" s="349">
        <v>69.5</v>
      </c>
    </row>
    <row r="397" spans="2:19">
      <c r="B397" s="215">
        <v>1312100335</v>
      </c>
      <c r="C397" s="231"/>
      <c r="E397" s="216">
        <f t="shared" si="102"/>
        <v>17.36</v>
      </c>
      <c r="F397" s="216">
        <v>13.02</v>
      </c>
      <c r="G397" s="174" t="s">
        <v>1375</v>
      </c>
      <c r="H397" s="175" t="s">
        <v>1139</v>
      </c>
      <c r="J397" s="49">
        <f t="shared" si="107"/>
        <v>1312100335</v>
      </c>
      <c r="K397" s="217">
        <f t="shared" si="109"/>
        <v>17.36</v>
      </c>
      <c r="L397" s="282">
        <v>2.4500000000000002</v>
      </c>
      <c r="M397" s="282">
        <f t="shared" si="106"/>
        <v>13.02</v>
      </c>
      <c r="N397" s="282">
        <f t="shared" si="108"/>
        <v>13.02</v>
      </c>
      <c r="O397" s="271"/>
      <c r="P397" s="265"/>
      <c r="Q397" s="16">
        <v>2811400390</v>
      </c>
      <c r="R397" t="s">
        <v>706</v>
      </c>
      <c r="S397" s="343">
        <v>38.589999999999996</v>
      </c>
    </row>
    <row r="398" spans="2:19">
      <c r="B398" s="215">
        <v>1310072276</v>
      </c>
      <c r="C398" s="231"/>
      <c r="E398" s="216">
        <f t="shared" si="102"/>
        <v>3.26</v>
      </c>
      <c r="F398" s="216">
        <v>2.4500000000000002</v>
      </c>
      <c r="G398" s="174" t="s">
        <v>1376</v>
      </c>
      <c r="H398" s="175" t="s">
        <v>1139</v>
      </c>
      <c r="J398" s="49">
        <f t="shared" si="107"/>
        <v>1310072276</v>
      </c>
      <c r="K398" s="217">
        <f t="shared" si="109"/>
        <v>3.26</v>
      </c>
      <c r="L398" s="282">
        <v>0.73</v>
      </c>
      <c r="M398" s="282">
        <f t="shared" si="106"/>
        <v>2.4500000000000002</v>
      </c>
      <c r="N398" s="282">
        <f t="shared" si="108"/>
        <v>2.4449999999999998</v>
      </c>
      <c r="O398" s="271"/>
      <c r="P398" s="265"/>
      <c r="Q398" s="16">
        <v>2811400480</v>
      </c>
      <c r="R398" t="s">
        <v>810</v>
      </c>
      <c r="S398" s="349">
        <v>67.36</v>
      </c>
    </row>
    <row r="399" spans="2:19">
      <c r="B399" s="215">
        <v>1310073077</v>
      </c>
      <c r="C399" s="231"/>
      <c r="E399" s="216">
        <f t="shared" si="102"/>
        <v>20.69</v>
      </c>
      <c r="F399" s="216">
        <v>15.52</v>
      </c>
      <c r="G399" s="174" t="s">
        <v>1377</v>
      </c>
      <c r="H399" s="175" t="s">
        <v>1139</v>
      </c>
      <c r="J399" s="49">
        <f t="shared" si="107"/>
        <v>1310073077</v>
      </c>
      <c r="K399" s="217">
        <f t="shared" si="109"/>
        <v>20.69</v>
      </c>
      <c r="L399" s="282">
        <v>167.02</v>
      </c>
      <c r="M399" s="282">
        <f t="shared" si="106"/>
        <v>15.52</v>
      </c>
      <c r="N399" s="282">
        <f t="shared" si="108"/>
        <v>15.517500000000002</v>
      </c>
      <c r="O399" s="271"/>
      <c r="P399" s="265"/>
      <c r="Q399" s="16">
        <v>2811400490</v>
      </c>
      <c r="R399" t="s">
        <v>708</v>
      </c>
      <c r="S399" s="343">
        <v>95.960000000000008</v>
      </c>
    </row>
    <row r="400" spans="2:19">
      <c r="B400" s="215">
        <v>1312100950</v>
      </c>
      <c r="C400" s="231"/>
      <c r="E400" s="216">
        <f t="shared" si="102"/>
        <v>225.84</v>
      </c>
      <c r="F400" s="216">
        <v>169.38</v>
      </c>
      <c r="G400" s="174" t="s">
        <v>1378</v>
      </c>
      <c r="H400" s="175" t="s">
        <v>1139</v>
      </c>
      <c r="J400" s="49">
        <f t="shared" si="107"/>
        <v>1312100950</v>
      </c>
      <c r="K400" s="217">
        <f t="shared" si="109"/>
        <v>225.84</v>
      </c>
      <c r="L400" s="282">
        <v>195.37</v>
      </c>
      <c r="M400" s="282">
        <f t="shared" si="106"/>
        <v>169.38</v>
      </c>
      <c r="N400" s="282">
        <f t="shared" si="108"/>
        <v>169.38</v>
      </c>
      <c r="O400" s="271"/>
      <c r="P400" s="265"/>
      <c r="Q400" s="16">
        <v>2811400580</v>
      </c>
      <c r="R400" t="s">
        <v>811</v>
      </c>
      <c r="S400" s="349">
        <v>76.98</v>
      </c>
    </row>
    <row r="401" spans="2:20">
      <c r="B401" s="215">
        <v>1312100951</v>
      </c>
      <c r="C401" s="231"/>
      <c r="E401" s="216">
        <f t="shared" si="102"/>
        <v>260.49</v>
      </c>
      <c r="F401" s="216">
        <v>195.37</v>
      </c>
      <c r="G401" s="174" t="s">
        <v>1379</v>
      </c>
      <c r="H401" s="175" t="s">
        <v>1139</v>
      </c>
      <c r="J401" s="49">
        <f t="shared" si="107"/>
        <v>1312100951</v>
      </c>
      <c r="K401" s="217">
        <f t="shared" si="109"/>
        <v>260.49</v>
      </c>
      <c r="L401" s="282">
        <v>209.33</v>
      </c>
      <c r="M401" s="282">
        <f t="shared" si="106"/>
        <v>195.37</v>
      </c>
      <c r="N401" s="282">
        <f t="shared" si="108"/>
        <v>195.36750000000001</v>
      </c>
      <c r="O401" s="271"/>
      <c r="P401" s="265"/>
      <c r="Q401" s="16">
        <v>2811400590</v>
      </c>
      <c r="R401" t="s">
        <v>812</v>
      </c>
      <c r="S401" s="343">
        <v>192.73</v>
      </c>
    </row>
    <row r="402" spans="2:20">
      <c r="B402" s="215">
        <v>1312100952</v>
      </c>
      <c r="C402" s="231"/>
      <c r="E402" s="216">
        <f t="shared" si="102"/>
        <v>279.11</v>
      </c>
      <c r="F402" s="216">
        <v>209.33</v>
      </c>
      <c r="G402" s="174" t="s">
        <v>1380</v>
      </c>
      <c r="H402" s="175" t="s">
        <v>1139</v>
      </c>
      <c r="J402" s="49">
        <f t="shared" si="107"/>
        <v>1312100952</v>
      </c>
      <c r="K402" s="217">
        <f t="shared" si="109"/>
        <v>279.11</v>
      </c>
      <c r="L402" s="282">
        <v>238.94</v>
      </c>
      <c r="M402" s="282">
        <f t="shared" si="106"/>
        <v>209.33</v>
      </c>
      <c r="N402" s="282">
        <f t="shared" si="108"/>
        <v>209.33250000000001</v>
      </c>
      <c r="O402" s="271"/>
      <c r="P402" s="265"/>
      <c r="Q402" s="16">
        <v>2811400680</v>
      </c>
      <c r="R402" t="s">
        <v>813</v>
      </c>
      <c r="S402" s="349">
        <v>46.71</v>
      </c>
    </row>
    <row r="403" spans="2:20">
      <c r="B403" s="215">
        <v>1312100953</v>
      </c>
      <c r="C403" s="231"/>
      <c r="E403" s="216">
        <f t="shared" si="102"/>
        <v>318.58999999999997</v>
      </c>
      <c r="F403" s="216">
        <v>238.94</v>
      </c>
      <c r="G403" s="174" t="s">
        <v>1381</v>
      </c>
      <c r="H403" s="175" t="s">
        <v>1139</v>
      </c>
      <c r="J403" s="49">
        <f t="shared" si="107"/>
        <v>1312100953</v>
      </c>
      <c r="K403" s="217">
        <f t="shared" si="109"/>
        <v>318.58999999999997</v>
      </c>
      <c r="L403" s="282">
        <v>380.91</v>
      </c>
      <c r="M403" s="282">
        <f t="shared" si="106"/>
        <v>238.94</v>
      </c>
      <c r="N403" s="282">
        <f t="shared" si="108"/>
        <v>238.9425</v>
      </c>
      <c r="O403" s="271"/>
      <c r="P403" s="265"/>
      <c r="Q403" s="16">
        <v>2811401180</v>
      </c>
      <c r="R403" t="s">
        <v>762</v>
      </c>
      <c r="S403" s="343">
        <v>109.48</v>
      </c>
    </row>
    <row r="404" spans="2:20">
      <c r="B404" s="215">
        <v>1312100954</v>
      </c>
      <c r="C404" s="231"/>
      <c r="E404" s="216">
        <f t="shared" ref="E404:E405" si="110">VLOOKUP(B404,$Q$14:$S$1164,3,FALSE)</f>
        <v>507.88</v>
      </c>
      <c r="F404" s="216">
        <v>380.91</v>
      </c>
      <c r="G404" s="174" t="s">
        <v>1382</v>
      </c>
      <c r="H404" s="175" t="s">
        <v>1139</v>
      </c>
      <c r="J404" s="49">
        <f t="shared" si="107"/>
        <v>1312100954</v>
      </c>
      <c r="K404" s="217">
        <f t="shared" ref="K404:K405" si="111">VLOOKUP(J404,$Q$14:$S$1164,3,FALSE)</f>
        <v>507.88</v>
      </c>
      <c r="L404" s="282">
        <v>598.01</v>
      </c>
      <c r="M404" s="282">
        <f t="shared" si="106"/>
        <v>380.91</v>
      </c>
      <c r="N404" s="282">
        <f t="shared" si="108"/>
        <v>380.90999999999997</v>
      </c>
      <c r="O404" s="271"/>
      <c r="P404" s="265"/>
      <c r="Q404" s="16">
        <v>2811401280</v>
      </c>
      <c r="R404" t="s">
        <v>763</v>
      </c>
      <c r="S404" s="349">
        <v>55.23</v>
      </c>
    </row>
    <row r="405" spans="2:20">
      <c r="B405" s="215">
        <v>1312100955</v>
      </c>
      <c r="C405" s="231"/>
      <c r="E405" s="216">
        <f t="shared" si="110"/>
        <v>797.34</v>
      </c>
      <c r="F405" s="216">
        <v>598.01</v>
      </c>
      <c r="G405" s="174" t="s">
        <v>1383</v>
      </c>
      <c r="H405" s="175" t="s">
        <v>1139</v>
      </c>
      <c r="J405" s="49">
        <f t="shared" si="107"/>
        <v>1312100955</v>
      </c>
      <c r="K405" s="217">
        <f t="shared" si="111"/>
        <v>797.34</v>
      </c>
      <c r="L405" s="282"/>
      <c r="M405" s="282">
        <f t="shared" si="106"/>
        <v>598.01</v>
      </c>
      <c r="N405" s="282">
        <f t="shared" si="108"/>
        <v>598.005</v>
      </c>
      <c r="O405" s="271"/>
      <c r="P405" s="265"/>
      <c r="Q405" s="16">
        <v>2811402800</v>
      </c>
      <c r="R405" t="s">
        <v>814</v>
      </c>
      <c r="S405" s="343">
        <v>32.949999999999996</v>
      </c>
      <c r="T405">
        <v>36.25</v>
      </c>
    </row>
    <row r="406" spans="2:20">
      <c r="E406" s="216"/>
      <c r="F406" s="216"/>
      <c r="K406" s="217"/>
      <c r="L406" s="281">
        <v>582.11</v>
      </c>
      <c r="M406" s="282"/>
      <c r="N406" s="282"/>
      <c r="O406" s="271"/>
      <c r="P406" s="265"/>
      <c r="Q406" s="16">
        <v>2811405181</v>
      </c>
      <c r="R406" t="s">
        <v>815</v>
      </c>
      <c r="S406" s="349">
        <v>166.88</v>
      </c>
    </row>
    <row r="407" spans="2:20">
      <c r="B407" s="215">
        <v>2811004600</v>
      </c>
      <c r="C407" s="259"/>
      <c r="D407" s="260"/>
      <c r="E407" s="216">
        <v>776.15</v>
      </c>
      <c r="F407" s="216">
        <v>582.11</v>
      </c>
      <c r="G407" s="220" t="s">
        <v>1384</v>
      </c>
      <c r="H407" s="228"/>
      <c r="J407" s="194">
        <f>B407*$K$13</f>
        <v>2811004600</v>
      </c>
      <c r="K407" s="210">
        <v>776.15</v>
      </c>
      <c r="L407" s="282">
        <v>599.29999999999995</v>
      </c>
      <c r="M407" s="282">
        <f t="shared" si="106"/>
        <v>582.11</v>
      </c>
      <c r="N407" s="282">
        <f>K407*$N$13</f>
        <v>582.11249999999995</v>
      </c>
      <c r="O407" s="271"/>
      <c r="P407" s="265"/>
      <c r="Q407" s="16">
        <v>2811406100</v>
      </c>
      <c r="R407" t="s">
        <v>1393</v>
      </c>
      <c r="S407" s="343">
        <v>170.26</v>
      </c>
    </row>
    <row r="408" spans="2:20">
      <c r="B408" s="215">
        <v>2810084600</v>
      </c>
      <c r="C408" s="203"/>
      <c r="D408" s="218"/>
      <c r="E408" s="216">
        <f>VLOOKUP(B408,$Q$14:$S$1164,3,FALSE)</f>
        <v>775.15</v>
      </c>
      <c r="F408" s="216">
        <v>581.36</v>
      </c>
      <c r="G408" s="174" t="s">
        <v>1385</v>
      </c>
      <c r="I408" s="194"/>
      <c r="J408" s="49">
        <f>B408*$K$13</f>
        <v>2810084600</v>
      </c>
      <c r="K408" s="217">
        <f>VLOOKUP(J408,$Q$14:$S$1164,3,FALSE)</f>
        <v>775.15</v>
      </c>
      <c r="L408" s="282"/>
      <c r="M408" s="282">
        <f t="shared" si="106"/>
        <v>581.36</v>
      </c>
      <c r="N408" s="282">
        <f>K408*$N$13</f>
        <v>581.36249999999995</v>
      </c>
      <c r="O408" s="271"/>
      <c r="P408" s="265"/>
      <c r="Q408" s="16">
        <v>2811406200</v>
      </c>
      <c r="R408" t="s">
        <v>1395</v>
      </c>
      <c r="S408" s="343">
        <v>170.26999999999998</v>
      </c>
    </row>
    <row r="409" spans="2:20">
      <c r="E409" s="216"/>
      <c r="F409" s="216"/>
      <c r="K409" s="217"/>
      <c r="L409" s="282">
        <v>60.05</v>
      </c>
      <c r="M409" s="282"/>
      <c r="N409" s="282"/>
      <c r="O409" s="271"/>
      <c r="P409" s="265"/>
      <c r="Q409" s="16">
        <v>2811406301</v>
      </c>
      <c r="R409" s="347" t="s">
        <v>734</v>
      </c>
      <c r="S409" s="343">
        <v>68.22</v>
      </c>
    </row>
    <row r="410" spans="2:20">
      <c r="B410" s="215">
        <v>2811105705</v>
      </c>
      <c r="E410" s="216">
        <f>VLOOKUP(B410,$Q$14:$S$1164,3,FALSE)</f>
        <v>80.069999999999993</v>
      </c>
      <c r="F410" s="216">
        <v>60.05</v>
      </c>
      <c r="G410" s="174" t="s">
        <v>1386</v>
      </c>
      <c r="J410" s="49">
        <f>B410*$K$13</f>
        <v>2811105705</v>
      </c>
      <c r="K410" s="217">
        <f>VLOOKUP(J410,$Q$14:$S$1164,3,FALSE)</f>
        <v>80.069999999999993</v>
      </c>
      <c r="L410" s="282">
        <v>96.86</v>
      </c>
      <c r="M410" s="282">
        <f t="shared" si="106"/>
        <v>60.05</v>
      </c>
      <c r="N410" s="282">
        <f>K410*$N$13</f>
        <v>60.052499999999995</v>
      </c>
      <c r="O410" s="271"/>
      <c r="P410" s="265"/>
      <c r="Q410" s="16">
        <v>2811406510</v>
      </c>
      <c r="R410" t="s">
        <v>816</v>
      </c>
      <c r="S410" s="343">
        <v>34.119999999999997</v>
      </c>
    </row>
    <row r="411" spans="2:20">
      <c r="B411" s="215">
        <v>2811105710</v>
      </c>
      <c r="E411" s="216">
        <f>VLOOKUP(B411,$Q$14:$S$1164,3,FALSE)</f>
        <v>129.13999999999999</v>
      </c>
      <c r="F411" s="216">
        <v>96.86</v>
      </c>
      <c r="G411" s="174" t="s">
        <v>1387</v>
      </c>
      <c r="J411" s="49">
        <f>B411*$K$13</f>
        <v>2811105710</v>
      </c>
      <c r="K411" s="217">
        <f>VLOOKUP(J411,$Q$14:$S$1164,3,FALSE)</f>
        <v>129.13999999999999</v>
      </c>
      <c r="L411" s="282"/>
      <c r="M411" s="282">
        <f t="shared" si="106"/>
        <v>96.86</v>
      </c>
      <c r="N411" s="282">
        <f>K411*$N$13</f>
        <v>96.85499999999999</v>
      </c>
      <c r="O411" s="271"/>
      <c r="P411" s="265"/>
      <c r="Q411" s="16">
        <v>2811406604</v>
      </c>
      <c r="R411" t="s">
        <v>817</v>
      </c>
      <c r="S411" s="343">
        <v>555.33000000000004</v>
      </c>
    </row>
    <row r="412" spans="2:20">
      <c r="E412" s="216"/>
      <c r="F412" s="216"/>
      <c r="K412" s="217"/>
      <c r="L412" s="282">
        <v>12</v>
      </c>
      <c r="M412" s="282"/>
      <c r="N412" s="282"/>
      <c r="O412" s="271"/>
      <c r="P412" s="265"/>
      <c r="Q412" s="16">
        <v>2811410780</v>
      </c>
      <c r="R412" t="s">
        <v>818</v>
      </c>
      <c r="S412" s="349">
        <v>89.100000000000009</v>
      </c>
    </row>
    <row r="413" spans="2:20">
      <c r="B413" s="215">
        <v>2811007900</v>
      </c>
      <c r="E413" s="216">
        <f t="shared" ref="E413:E423" si="112">VLOOKUP(B413,$Q$14:$S$1164,3,FALSE)</f>
        <v>16.48</v>
      </c>
      <c r="F413" s="216">
        <v>12.36</v>
      </c>
      <c r="G413" s="174" t="s">
        <v>1388</v>
      </c>
      <c r="H413" s="175" t="s">
        <v>1389</v>
      </c>
      <c r="J413" s="49">
        <f t="shared" ref="J413:J423" si="113">B413*$K$13</f>
        <v>2811007900</v>
      </c>
      <c r="K413" s="217">
        <f t="shared" ref="K413:K423" si="114">VLOOKUP(J413,$Q$14:$S$1164,3,FALSE)</f>
        <v>16.48</v>
      </c>
      <c r="L413" s="282">
        <v>20.6</v>
      </c>
      <c r="M413" s="282">
        <f t="shared" si="106"/>
        <v>12.36</v>
      </c>
      <c r="N413" s="282">
        <f t="shared" ref="N413:N423" si="115">K413*$N$13</f>
        <v>12.36</v>
      </c>
      <c r="O413" s="271"/>
      <c r="P413" s="265"/>
      <c r="Q413" s="16">
        <v>2811411080</v>
      </c>
      <c r="R413" t="s">
        <v>819</v>
      </c>
      <c r="S413" s="349">
        <v>50.169999999999995</v>
      </c>
    </row>
    <row r="414" spans="2:20">
      <c r="B414" s="215">
        <v>2811117900</v>
      </c>
      <c r="E414" s="216">
        <f t="shared" si="112"/>
        <v>28.290000000000003</v>
      </c>
      <c r="F414" s="216">
        <v>21.22</v>
      </c>
      <c r="G414" s="174" t="s">
        <v>1390</v>
      </c>
      <c r="H414" s="175" t="s">
        <v>1389</v>
      </c>
      <c r="J414" s="49">
        <f t="shared" si="113"/>
        <v>2811117900</v>
      </c>
      <c r="K414" s="217">
        <f t="shared" si="114"/>
        <v>28.290000000000003</v>
      </c>
      <c r="L414" s="282">
        <v>32.81</v>
      </c>
      <c r="M414" s="282">
        <f t="shared" si="106"/>
        <v>21.22</v>
      </c>
      <c r="N414" s="282">
        <f t="shared" si="115"/>
        <v>21.217500000000001</v>
      </c>
      <c r="O414" s="271"/>
      <c r="P414" s="265"/>
      <c r="Q414" s="16">
        <v>2811411180</v>
      </c>
      <c r="R414" t="s">
        <v>820</v>
      </c>
      <c r="S414" s="343">
        <v>124.66000000000001</v>
      </c>
    </row>
    <row r="415" spans="2:20">
      <c r="B415" s="215">
        <v>2811227900</v>
      </c>
      <c r="E415" s="216">
        <f t="shared" si="112"/>
        <v>45.059999999999995</v>
      </c>
      <c r="F415" s="216">
        <v>33.799999999999997</v>
      </c>
      <c r="G415" s="174" t="s">
        <v>1391</v>
      </c>
      <c r="H415" s="175" t="s">
        <v>1389</v>
      </c>
      <c r="J415" s="49">
        <f t="shared" si="113"/>
        <v>2811227900</v>
      </c>
      <c r="K415" s="217">
        <f t="shared" si="114"/>
        <v>45.059999999999995</v>
      </c>
      <c r="L415" s="282">
        <v>33.729999999999997</v>
      </c>
      <c r="M415" s="282">
        <f t="shared" si="106"/>
        <v>33.799999999999997</v>
      </c>
      <c r="N415" s="282">
        <f t="shared" si="115"/>
        <v>33.794999999999995</v>
      </c>
      <c r="O415" s="271"/>
      <c r="P415" s="265"/>
      <c r="Q415" s="16">
        <v>2811411280</v>
      </c>
      <c r="R415" t="s">
        <v>821</v>
      </c>
      <c r="S415" s="349">
        <v>58.55</v>
      </c>
    </row>
    <row r="416" spans="2:20">
      <c r="B416" s="215">
        <v>2811337900</v>
      </c>
      <c r="E416" s="216">
        <f t="shared" si="112"/>
        <v>46.32</v>
      </c>
      <c r="F416" s="216">
        <v>34.74</v>
      </c>
      <c r="G416" s="174" t="s">
        <v>1392</v>
      </c>
      <c r="H416" s="175" t="s">
        <v>1389</v>
      </c>
      <c r="J416" s="49">
        <f t="shared" si="113"/>
        <v>2811337900</v>
      </c>
      <c r="K416" s="217">
        <f t="shared" si="114"/>
        <v>46.32</v>
      </c>
      <c r="L416" s="282">
        <v>40.049999999999997</v>
      </c>
      <c r="M416" s="282">
        <f t="shared" ref="M416:M479" si="116">ROUND(N416,2)</f>
        <v>34.74</v>
      </c>
      <c r="N416" s="282">
        <f t="shared" si="115"/>
        <v>34.74</v>
      </c>
      <c r="O416" s="271"/>
      <c r="P416" s="265"/>
      <c r="Q416" s="16">
        <v>2811412220</v>
      </c>
      <c r="R416" t="s">
        <v>822</v>
      </c>
      <c r="S416" s="349">
        <v>44.69</v>
      </c>
    </row>
    <row r="417" spans="2:19">
      <c r="B417" s="215">
        <v>2811447900</v>
      </c>
      <c r="E417" s="216">
        <f t="shared" si="112"/>
        <v>55.01</v>
      </c>
      <c r="F417" s="216">
        <v>41.26</v>
      </c>
      <c r="G417" s="174" t="s">
        <v>1394</v>
      </c>
      <c r="H417" s="175" t="s">
        <v>1389</v>
      </c>
      <c r="J417" s="49">
        <f t="shared" si="113"/>
        <v>2811447900</v>
      </c>
      <c r="K417" s="217">
        <f t="shared" si="114"/>
        <v>55.01</v>
      </c>
      <c r="L417" s="282">
        <v>60.59</v>
      </c>
      <c r="M417" s="282">
        <f t="shared" si="116"/>
        <v>41.26</v>
      </c>
      <c r="N417" s="282">
        <f t="shared" si="115"/>
        <v>41.2575</v>
      </c>
      <c r="O417" s="271"/>
      <c r="P417" s="265"/>
      <c r="Q417" s="16">
        <v>2811420780</v>
      </c>
      <c r="R417" t="s">
        <v>823</v>
      </c>
      <c r="S417" s="343">
        <v>70.190000000000012</v>
      </c>
    </row>
    <row r="418" spans="2:19">
      <c r="B418" s="215">
        <v>2811557900</v>
      </c>
      <c r="E418" s="216">
        <f t="shared" si="112"/>
        <v>83.210000000000008</v>
      </c>
      <c r="F418" s="216">
        <v>62.41</v>
      </c>
      <c r="G418" s="174" t="s">
        <v>1396</v>
      </c>
      <c r="H418" s="175" t="s">
        <v>1389</v>
      </c>
      <c r="J418" s="49">
        <f t="shared" si="113"/>
        <v>2811557900</v>
      </c>
      <c r="K418" s="217">
        <f t="shared" si="114"/>
        <v>83.210000000000008</v>
      </c>
      <c r="L418" s="282">
        <v>6.58</v>
      </c>
      <c r="M418" s="282">
        <f t="shared" si="116"/>
        <v>62.41</v>
      </c>
      <c r="N418" s="282">
        <f t="shared" si="115"/>
        <v>62.407500000000006</v>
      </c>
      <c r="O418" s="271"/>
      <c r="P418" s="265"/>
      <c r="Q418" s="16">
        <v>2811420880</v>
      </c>
      <c r="R418" t="s">
        <v>824</v>
      </c>
      <c r="S418" s="343">
        <v>78.14</v>
      </c>
    </row>
    <row r="419" spans="2:19">
      <c r="B419" s="215">
        <v>2811007700</v>
      </c>
      <c r="E419" s="216">
        <f t="shared" si="112"/>
        <v>9.0499999999999989</v>
      </c>
      <c r="F419" s="216">
        <v>6.79</v>
      </c>
      <c r="G419" s="174" t="s">
        <v>1397</v>
      </c>
      <c r="H419" s="175" t="s">
        <v>1389</v>
      </c>
      <c r="J419" s="49">
        <f t="shared" si="113"/>
        <v>2811007700</v>
      </c>
      <c r="K419" s="217">
        <f t="shared" si="114"/>
        <v>9.0499999999999989</v>
      </c>
      <c r="L419" s="282">
        <v>10.9</v>
      </c>
      <c r="M419" s="282">
        <f t="shared" si="116"/>
        <v>6.79</v>
      </c>
      <c r="N419" s="282">
        <f t="shared" si="115"/>
        <v>6.7874999999999996</v>
      </c>
      <c r="O419" s="271"/>
      <c r="P419" s="265"/>
      <c r="Q419" s="16">
        <v>2811420980</v>
      </c>
      <c r="R419" t="s">
        <v>825</v>
      </c>
      <c r="S419" s="343">
        <v>154.6</v>
      </c>
    </row>
    <row r="420" spans="2:19">
      <c r="B420" s="215">
        <v>2811117700</v>
      </c>
      <c r="E420" s="216">
        <f t="shared" si="112"/>
        <v>14.97</v>
      </c>
      <c r="F420" s="216">
        <v>11.23</v>
      </c>
      <c r="G420" s="174" t="s">
        <v>1398</v>
      </c>
      <c r="H420" s="175" t="s">
        <v>1389</v>
      </c>
      <c r="J420" s="49">
        <f t="shared" si="113"/>
        <v>2811117700</v>
      </c>
      <c r="K420" s="217">
        <f t="shared" si="114"/>
        <v>14.97</v>
      </c>
      <c r="L420" s="282">
        <v>24.76</v>
      </c>
      <c r="M420" s="282">
        <f t="shared" si="116"/>
        <v>11.23</v>
      </c>
      <c r="N420" s="282">
        <f t="shared" si="115"/>
        <v>11.227500000000001</v>
      </c>
      <c r="O420" s="271"/>
      <c r="P420" s="265"/>
      <c r="Q420" s="16">
        <v>2811421080</v>
      </c>
      <c r="R420" t="s">
        <v>826</v>
      </c>
      <c r="S420" s="349">
        <v>50.21</v>
      </c>
    </row>
    <row r="421" spans="2:19">
      <c r="B421" s="215">
        <v>2811227700</v>
      </c>
      <c r="E421" s="216">
        <f t="shared" si="112"/>
        <v>34.01</v>
      </c>
      <c r="F421" s="216">
        <v>25.51</v>
      </c>
      <c r="G421" s="174" t="s">
        <v>1399</v>
      </c>
      <c r="H421" s="175" t="s">
        <v>1389</v>
      </c>
      <c r="J421" s="49">
        <f t="shared" si="113"/>
        <v>2811227700</v>
      </c>
      <c r="K421" s="217">
        <f t="shared" si="114"/>
        <v>34.01</v>
      </c>
      <c r="L421" s="282">
        <v>38.26</v>
      </c>
      <c r="M421" s="282">
        <f t="shared" si="116"/>
        <v>25.51</v>
      </c>
      <c r="N421" s="282">
        <f t="shared" si="115"/>
        <v>25.5075</v>
      </c>
      <c r="O421" s="271"/>
      <c r="P421" s="265"/>
      <c r="Q421" s="16">
        <v>2811421980</v>
      </c>
      <c r="R421" t="s">
        <v>827</v>
      </c>
      <c r="S421" s="343">
        <v>45.239999999999995</v>
      </c>
    </row>
    <row r="422" spans="2:19">
      <c r="B422" s="215">
        <v>2811447700</v>
      </c>
      <c r="E422" s="216">
        <f t="shared" si="112"/>
        <v>52.55</v>
      </c>
      <c r="F422" s="216">
        <v>39.409999999999997</v>
      </c>
      <c r="G422" s="174" t="s">
        <v>1400</v>
      </c>
      <c r="H422" s="175" t="s">
        <v>1389</v>
      </c>
      <c r="J422" s="49">
        <f t="shared" si="113"/>
        <v>2811447700</v>
      </c>
      <c r="K422" s="217">
        <f t="shared" si="114"/>
        <v>52.55</v>
      </c>
      <c r="L422" s="282">
        <v>10.56</v>
      </c>
      <c r="M422" s="282">
        <f t="shared" si="116"/>
        <v>39.409999999999997</v>
      </c>
      <c r="N422" s="282">
        <f t="shared" si="115"/>
        <v>39.412499999999994</v>
      </c>
      <c r="O422" s="271"/>
      <c r="P422" s="265"/>
      <c r="Q422" s="16">
        <v>2811422080</v>
      </c>
      <c r="R422" t="s">
        <v>828</v>
      </c>
      <c r="S422" s="343">
        <v>88.92</v>
      </c>
    </row>
    <row r="423" spans="2:19">
      <c r="B423" s="215">
        <v>2811557700</v>
      </c>
      <c r="E423" s="216">
        <f t="shared" si="112"/>
        <v>14.51</v>
      </c>
      <c r="F423" s="216">
        <v>10.88</v>
      </c>
      <c r="G423" s="174" t="s">
        <v>1401</v>
      </c>
      <c r="H423" s="175" t="s">
        <v>1389</v>
      </c>
      <c r="J423" s="49">
        <f t="shared" si="113"/>
        <v>2811557700</v>
      </c>
      <c r="K423" s="217">
        <f t="shared" si="114"/>
        <v>14.51</v>
      </c>
      <c r="L423" s="282"/>
      <c r="M423" s="282">
        <f t="shared" si="116"/>
        <v>10.88</v>
      </c>
      <c r="N423" s="282">
        <f t="shared" si="115"/>
        <v>10.8825</v>
      </c>
      <c r="O423" s="271"/>
      <c r="P423" s="265"/>
      <c r="Q423" s="16">
        <v>2811422180</v>
      </c>
      <c r="R423" t="s">
        <v>829</v>
      </c>
      <c r="S423" s="349">
        <v>60.71</v>
      </c>
    </row>
    <row r="424" spans="2:19">
      <c r="B424" s="215"/>
      <c r="E424" s="216"/>
      <c r="F424" s="216"/>
      <c r="K424" s="217"/>
      <c r="L424" s="282"/>
      <c r="M424" s="282"/>
      <c r="N424" s="282"/>
      <c r="O424" s="271"/>
      <c r="P424" s="265"/>
      <c r="Q424" s="16">
        <v>2811431780</v>
      </c>
      <c r="R424" t="s">
        <v>830</v>
      </c>
      <c r="S424" s="343">
        <v>72.02000000000001</v>
      </c>
    </row>
    <row r="425" spans="2:19">
      <c r="B425" s="215"/>
      <c r="E425" s="216"/>
      <c r="F425" s="216"/>
      <c r="G425" s="214" t="s">
        <v>1402</v>
      </c>
      <c r="K425" s="217"/>
      <c r="L425" s="282">
        <v>0.53</v>
      </c>
      <c r="M425" s="282"/>
      <c r="N425" s="282"/>
      <c r="O425" s="271"/>
      <c r="P425" s="265"/>
      <c r="Q425" s="16">
        <v>2811431880</v>
      </c>
      <c r="R425" t="s">
        <v>831</v>
      </c>
      <c r="S425" s="349">
        <v>69.44</v>
      </c>
    </row>
    <row r="426" spans="2:19">
      <c r="B426" s="215">
        <v>2813002200</v>
      </c>
      <c r="E426" s="216">
        <f t="shared" ref="E426:E489" si="117">VLOOKUP(B426,$Q$14:$S$1164,3,FALSE)</f>
        <v>0.7</v>
      </c>
      <c r="F426" s="216">
        <v>0.53</v>
      </c>
      <c r="G426" s="222" t="s">
        <v>1403</v>
      </c>
      <c r="J426" s="49">
        <f t="shared" ref="J426:J489" si="118">B426*$K$13</f>
        <v>2813002200</v>
      </c>
      <c r="K426" s="217">
        <f t="shared" ref="K426:K489" si="119">VLOOKUP(J426,$Q$14:$S$1164,3,FALSE)</f>
        <v>0.7</v>
      </c>
      <c r="L426" s="282">
        <v>137.15</v>
      </c>
      <c r="M426" s="282">
        <f t="shared" si="116"/>
        <v>0.53</v>
      </c>
      <c r="N426" s="282">
        <f t="shared" ref="N426:N489" si="120">K426*$N$13</f>
        <v>0.52499999999999991</v>
      </c>
      <c r="O426" s="271"/>
      <c r="P426" s="265"/>
      <c r="Q426" s="16">
        <v>2811441380</v>
      </c>
      <c r="R426" t="s">
        <v>832</v>
      </c>
      <c r="S426" s="343">
        <v>108.79</v>
      </c>
    </row>
    <row r="427" spans="2:19">
      <c r="B427" s="215">
        <v>2813002505</v>
      </c>
      <c r="E427" s="216">
        <f t="shared" si="117"/>
        <v>176.97</v>
      </c>
      <c r="F427" s="216">
        <v>132.72999999999999</v>
      </c>
      <c r="G427" s="222" t="s">
        <v>1404</v>
      </c>
      <c r="J427" s="49">
        <f t="shared" si="118"/>
        <v>2813002505</v>
      </c>
      <c r="K427" s="217">
        <f t="shared" si="119"/>
        <v>176.97</v>
      </c>
      <c r="L427" s="282">
        <v>10.050000000000001</v>
      </c>
      <c r="M427" s="282">
        <f t="shared" si="116"/>
        <v>132.72999999999999</v>
      </c>
      <c r="N427" s="282">
        <f t="shared" si="120"/>
        <v>132.72749999999999</v>
      </c>
      <c r="O427" s="271"/>
      <c r="P427" s="261"/>
      <c r="Q427" s="16">
        <v>2811441480</v>
      </c>
      <c r="R427" t="s">
        <v>833</v>
      </c>
      <c r="S427" s="349">
        <v>100.97</v>
      </c>
    </row>
    <row r="428" spans="2:19">
      <c r="B428" s="215">
        <v>2813002580</v>
      </c>
      <c r="E428" s="216">
        <f t="shared" si="117"/>
        <v>13</v>
      </c>
      <c r="F428" s="216">
        <v>9.75</v>
      </c>
      <c r="G428" s="222" t="s">
        <v>1405</v>
      </c>
      <c r="J428" s="49">
        <f t="shared" si="118"/>
        <v>2813002580</v>
      </c>
      <c r="K428" s="217">
        <f t="shared" si="119"/>
        <v>13</v>
      </c>
      <c r="L428" s="282">
        <v>12.16</v>
      </c>
      <c r="M428" s="282">
        <f t="shared" si="116"/>
        <v>9.75</v>
      </c>
      <c r="N428" s="282">
        <f t="shared" si="120"/>
        <v>9.75</v>
      </c>
      <c r="O428" s="271"/>
      <c r="P428" s="265"/>
      <c r="Q428" s="16">
        <v>2811441780</v>
      </c>
      <c r="R428" t="s">
        <v>834</v>
      </c>
      <c r="S428" s="343">
        <v>74.910000000000011</v>
      </c>
    </row>
    <row r="429" spans="2:19">
      <c r="B429" s="215">
        <v>2813002581</v>
      </c>
      <c r="E429" s="216">
        <f t="shared" si="117"/>
        <v>15.7</v>
      </c>
      <c r="F429" s="216">
        <v>11.78</v>
      </c>
      <c r="G429" s="222" t="s">
        <v>1406</v>
      </c>
      <c r="J429" s="49">
        <f t="shared" si="118"/>
        <v>2813002581</v>
      </c>
      <c r="K429" s="217">
        <f t="shared" si="119"/>
        <v>15.7</v>
      </c>
      <c r="L429" s="282">
        <v>14.91</v>
      </c>
      <c r="M429" s="282">
        <f t="shared" si="116"/>
        <v>11.78</v>
      </c>
      <c r="N429" s="282">
        <f t="shared" si="120"/>
        <v>11.774999999999999</v>
      </c>
      <c r="O429" s="271"/>
      <c r="P429" s="274"/>
      <c r="Q429" s="16">
        <v>2811441880</v>
      </c>
      <c r="R429" t="s">
        <v>835</v>
      </c>
      <c r="S429" s="349">
        <v>71.52000000000001</v>
      </c>
    </row>
    <row r="430" spans="2:19">
      <c r="B430" s="215">
        <v>2813002582</v>
      </c>
      <c r="E430" s="216">
        <f t="shared" si="117"/>
        <v>19.240000000000002</v>
      </c>
      <c r="F430" s="216">
        <v>14.43</v>
      </c>
      <c r="G430" s="222" t="s">
        <v>1407</v>
      </c>
      <c r="J430" s="49">
        <f t="shared" si="118"/>
        <v>2813002582</v>
      </c>
      <c r="K430" s="217">
        <f t="shared" si="119"/>
        <v>19.240000000000002</v>
      </c>
      <c r="L430" s="282">
        <v>18.95</v>
      </c>
      <c r="M430" s="282">
        <f t="shared" si="116"/>
        <v>14.43</v>
      </c>
      <c r="N430" s="282">
        <f t="shared" si="120"/>
        <v>14.430000000000001</v>
      </c>
      <c r="O430" s="271"/>
      <c r="P430" s="265"/>
      <c r="Q430" s="16">
        <v>2811445281</v>
      </c>
      <c r="R430" t="s">
        <v>836</v>
      </c>
      <c r="S430" s="343">
        <v>225.26999999999998</v>
      </c>
    </row>
    <row r="431" spans="2:19">
      <c r="B431" s="215">
        <v>2813002583</v>
      </c>
      <c r="E431" s="216">
        <f t="shared" si="117"/>
        <v>24.450000000000003</v>
      </c>
      <c r="F431" s="216">
        <v>18.34</v>
      </c>
      <c r="G431" s="222" t="s">
        <v>1408</v>
      </c>
      <c r="J431" s="49">
        <f t="shared" si="118"/>
        <v>2813002583</v>
      </c>
      <c r="K431" s="217">
        <f t="shared" si="119"/>
        <v>24.450000000000003</v>
      </c>
      <c r="L431" s="282">
        <v>10.28</v>
      </c>
      <c r="M431" s="282">
        <f t="shared" si="116"/>
        <v>18.34</v>
      </c>
      <c r="N431" s="282">
        <f t="shared" si="120"/>
        <v>18.337500000000002</v>
      </c>
      <c r="O431" s="271"/>
      <c r="P431" s="261"/>
      <c r="Q431" s="16">
        <v>2811445381</v>
      </c>
      <c r="R431" t="s">
        <v>837</v>
      </c>
      <c r="S431" s="349">
        <v>162.72999999999999</v>
      </c>
    </row>
    <row r="432" spans="2:19">
      <c r="B432" s="215">
        <v>2813002680</v>
      </c>
      <c r="E432" s="216">
        <f t="shared" si="117"/>
        <v>13.27</v>
      </c>
      <c r="F432" s="216">
        <v>9.9499999999999993</v>
      </c>
      <c r="G432" s="222" t="s">
        <v>1409</v>
      </c>
      <c r="J432" s="49">
        <f t="shared" si="118"/>
        <v>2813002680</v>
      </c>
      <c r="K432" s="217">
        <f t="shared" si="119"/>
        <v>13.27</v>
      </c>
      <c r="L432" s="282">
        <v>12.35</v>
      </c>
      <c r="M432" s="282">
        <f t="shared" si="116"/>
        <v>9.9499999999999993</v>
      </c>
      <c r="N432" s="282">
        <f t="shared" si="120"/>
        <v>9.9525000000000006</v>
      </c>
      <c r="O432" s="271"/>
      <c r="P432" s="261"/>
      <c r="Q432" s="16">
        <v>2811447600</v>
      </c>
      <c r="R432" t="s">
        <v>838</v>
      </c>
      <c r="S432" s="343">
        <v>64.88000000000001</v>
      </c>
    </row>
    <row r="433" spans="2:19">
      <c r="B433" s="215">
        <v>2813002681</v>
      </c>
      <c r="E433" s="216">
        <f t="shared" si="117"/>
        <v>15.95</v>
      </c>
      <c r="F433" s="216">
        <v>11.96</v>
      </c>
      <c r="G433" s="222" t="s">
        <v>1410</v>
      </c>
      <c r="J433" s="49">
        <f t="shared" si="118"/>
        <v>2813002681</v>
      </c>
      <c r="K433" s="217">
        <f t="shared" si="119"/>
        <v>15.95</v>
      </c>
      <c r="L433" s="282">
        <v>14.4</v>
      </c>
      <c r="M433" s="282">
        <f t="shared" si="116"/>
        <v>11.96</v>
      </c>
      <c r="N433" s="282">
        <f t="shared" si="120"/>
        <v>11.962499999999999</v>
      </c>
      <c r="O433" s="271"/>
      <c r="P433" s="261"/>
      <c r="Q433" s="16">
        <v>2811447700</v>
      </c>
      <c r="R433" t="s">
        <v>839</v>
      </c>
      <c r="S433" s="343">
        <v>52.55</v>
      </c>
    </row>
    <row r="434" spans="2:19">
      <c r="B434" s="215">
        <v>2813002682</v>
      </c>
      <c r="E434" s="216">
        <f t="shared" si="117"/>
        <v>18.57</v>
      </c>
      <c r="F434" s="216">
        <v>13.93</v>
      </c>
      <c r="G434" s="222" t="s">
        <v>1411</v>
      </c>
      <c r="J434" s="49">
        <f t="shared" si="118"/>
        <v>2813002682</v>
      </c>
      <c r="K434" s="217">
        <f t="shared" si="119"/>
        <v>18.57</v>
      </c>
      <c r="L434" s="282">
        <v>13.34</v>
      </c>
      <c r="M434" s="282">
        <f t="shared" si="116"/>
        <v>13.93</v>
      </c>
      <c r="N434" s="282">
        <f t="shared" si="120"/>
        <v>13.9275</v>
      </c>
      <c r="O434" s="271"/>
      <c r="P434" s="261"/>
      <c r="Q434" s="16">
        <v>2811447800</v>
      </c>
      <c r="R434" t="s">
        <v>840</v>
      </c>
      <c r="S434" s="343">
        <v>45.519999999999996</v>
      </c>
    </row>
    <row r="435" spans="2:19">
      <c r="B435" s="215">
        <v>2813002700</v>
      </c>
      <c r="E435" s="216">
        <f t="shared" si="117"/>
        <v>17.220000000000002</v>
      </c>
      <c r="F435" s="216">
        <v>12.92</v>
      </c>
      <c r="G435" s="222" t="s">
        <v>1412</v>
      </c>
      <c r="J435" s="49">
        <f t="shared" si="118"/>
        <v>2813002700</v>
      </c>
      <c r="K435" s="217">
        <f t="shared" si="119"/>
        <v>17.220000000000002</v>
      </c>
      <c r="L435" s="282">
        <v>2.71</v>
      </c>
      <c r="M435" s="282">
        <f t="shared" si="116"/>
        <v>12.92</v>
      </c>
      <c r="N435" s="282">
        <f t="shared" si="120"/>
        <v>12.915000000000003</v>
      </c>
      <c r="O435" s="271"/>
      <c r="P435" s="261"/>
      <c r="Q435" s="16">
        <v>2811447900</v>
      </c>
      <c r="R435" t="s">
        <v>841</v>
      </c>
      <c r="S435" s="343">
        <v>55.01</v>
      </c>
    </row>
    <row r="436" spans="2:19">
      <c r="B436" s="215">
        <v>2813002701</v>
      </c>
      <c r="E436" s="216">
        <f t="shared" si="117"/>
        <v>3.5</v>
      </c>
      <c r="F436" s="216">
        <v>2.63</v>
      </c>
      <c r="G436" s="222" t="s">
        <v>1413</v>
      </c>
      <c r="J436" s="49">
        <f t="shared" si="118"/>
        <v>2813002701</v>
      </c>
      <c r="K436" s="217">
        <f t="shared" si="119"/>
        <v>3.5</v>
      </c>
      <c r="L436" s="282">
        <v>2.71</v>
      </c>
      <c r="M436" s="282">
        <f t="shared" si="116"/>
        <v>2.63</v>
      </c>
      <c r="N436" s="282">
        <f t="shared" si="120"/>
        <v>2.625</v>
      </c>
      <c r="O436" s="271"/>
      <c r="P436" s="261"/>
      <c r="Q436" s="16">
        <v>2811455100</v>
      </c>
      <c r="R436" t="s">
        <v>842</v>
      </c>
      <c r="S436" s="343">
        <v>36.89</v>
      </c>
    </row>
    <row r="437" spans="2:19">
      <c r="B437" s="215">
        <v>2813002702</v>
      </c>
      <c r="E437" s="216">
        <f t="shared" si="117"/>
        <v>3.5</v>
      </c>
      <c r="F437" s="216">
        <v>2.63</v>
      </c>
      <c r="G437" s="222" t="s">
        <v>1414</v>
      </c>
      <c r="J437" s="49">
        <f t="shared" si="118"/>
        <v>2813002702</v>
      </c>
      <c r="K437" s="217">
        <f t="shared" si="119"/>
        <v>3.5</v>
      </c>
      <c r="L437" s="282">
        <v>49.54</v>
      </c>
      <c r="M437" s="282">
        <f t="shared" si="116"/>
        <v>2.63</v>
      </c>
      <c r="N437" s="282">
        <f t="shared" si="120"/>
        <v>2.625</v>
      </c>
      <c r="O437" s="271"/>
      <c r="P437" s="261"/>
      <c r="Q437" s="16">
        <v>2811500000</v>
      </c>
      <c r="R437" t="s">
        <v>843</v>
      </c>
      <c r="S437" s="349">
        <v>205.64</v>
      </c>
    </row>
    <row r="438" spans="2:19">
      <c r="B438" s="215">
        <v>2813004000</v>
      </c>
      <c r="E438" s="216">
        <f t="shared" si="117"/>
        <v>63.93</v>
      </c>
      <c r="F438" s="216">
        <v>47.95</v>
      </c>
      <c r="G438" s="222" t="s">
        <v>1415</v>
      </c>
      <c r="J438" s="49">
        <f t="shared" si="118"/>
        <v>2813004000</v>
      </c>
      <c r="K438" s="217">
        <f t="shared" si="119"/>
        <v>63.93</v>
      </c>
      <c r="L438" s="282">
        <v>33.950000000000003</v>
      </c>
      <c r="M438" s="282">
        <f t="shared" si="116"/>
        <v>47.95</v>
      </c>
      <c r="N438" s="282">
        <f t="shared" si="120"/>
        <v>47.947499999999998</v>
      </c>
      <c r="O438" s="271"/>
      <c r="P438" s="274"/>
      <c r="Q438" s="16">
        <v>2811500112</v>
      </c>
      <c r="R438" t="s">
        <v>844</v>
      </c>
      <c r="S438" s="343">
        <v>108.81</v>
      </c>
    </row>
    <row r="439" spans="2:19">
      <c r="B439" s="215">
        <v>2813014000</v>
      </c>
      <c r="E439" s="216">
        <f t="shared" si="117"/>
        <v>43.8</v>
      </c>
      <c r="F439" s="216">
        <v>32.85</v>
      </c>
      <c r="G439" s="222" t="s">
        <v>1416</v>
      </c>
      <c r="J439" s="49">
        <f t="shared" si="118"/>
        <v>2813014000</v>
      </c>
      <c r="K439" s="217">
        <f t="shared" si="119"/>
        <v>43.8</v>
      </c>
      <c r="L439" s="282">
        <v>134.76</v>
      </c>
      <c r="M439" s="282">
        <f t="shared" si="116"/>
        <v>32.85</v>
      </c>
      <c r="N439" s="282">
        <f t="shared" si="120"/>
        <v>32.849999999999994</v>
      </c>
      <c r="O439" s="271"/>
      <c r="P439" s="261"/>
      <c r="Q439" s="16">
        <v>2811500280</v>
      </c>
      <c r="R439" t="s">
        <v>845</v>
      </c>
      <c r="S439" s="349">
        <v>73.660000000000011</v>
      </c>
    </row>
    <row r="440" spans="2:19">
      <c r="B440" s="215">
        <v>2813024000</v>
      </c>
      <c r="E440" s="216">
        <f t="shared" si="117"/>
        <v>173.88</v>
      </c>
      <c r="F440" s="216">
        <v>130.41</v>
      </c>
      <c r="G440" s="222" t="s">
        <v>1417</v>
      </c>
      <c r="J440" s="49">
        <f t="shared" si="118"/>
        <v>2813024000</v>
      </c>
      <c r="K440" s="217">
        <f t="shared" si="119"/>
        <v>173.88</v>
      </c>
      <c r="L440" s="282">
        <v>33.49</v>
      </c>
      <c r="M440" s="282">
        <f t="shared" si="116"/>
        <v>130.41</v>
      </c>
      <c r="N440" s="282">
        <f t="shared" si="120"/>
        <v>130.41</v>
      </c>
      <c r="O440" s="271"/>
      <c r="P440" s="261"/>
      <c r="Q440" s="16">
        <v>2811500290</v>
      </c>
      <c r="R440" t="s">
        <v>846</v>
      </c>
      <c r="S440" s="343">
        <v>236.73</v>
      </c>
    </row>
    <row r="441" spans="2:19">
      <c r="B441" s="215">
        <v>2813034000</v>
      </c>
      <c r="E441" s="216">
        <f t="shared" si="117"/>
        <v>43.21</v>
      </c>
      <c r="F441" s="216">
        <v>32.409999999999997</v>
      </c>
      <c r="G441" s="222" t="s">
        <v>1418</v>
      </c>
      <c r="J441" s="49">
        <f t="shared" si="118"/>
        <v>2813034000</v>
      </c>
      <c r="K441" s="217">
        <f t="shared" si="119"/>
        <v>43.21</v>
      </c>
      <c r="L441" s="282">
        <v>1.19</v>
      </c>
      <c r="M441" s="282">
        <f t="shared" si="116"/>
        <v>32.409999999999997</v>
      </c>
      <c r="N441" s="282">
        <f t="shared" si="120"/>
        <v>32.407499999999999</v>
      </c>
      <c r="O441" s="271"/>
      <c r="P441" s="261"/>
      <c r="Q441" s="16">
        <v>2811500380</v>
      </c>
      <c r="R441" t="s">
        <v>847</v>
      </c>
      <c r="S441" s="349">
        <v>82.350000000000009</v>
      </c>
    </row>
    <row r="442" spans="2:19">
      <c r="B442" s="215">
        <v>2813044000</v>
      </c>
      <c r="E442" s="216">
        <f t="shared" si="117"/>
        <v>1.54</v>
      </c>
      <c r="F442" s="216">
        <v>1.1599999999999999</v>
      </c>
      <c r="G442" s="222" t="s">
        <v>1419</v>
      </c>
      <c r="J442" s="49">
        <f t="shared" si="118"/>
        <v>2813044000</v>
      </c>
      <c r="K442" s="217">
        <f t="shared" si="119"/>
        <v>1.54</v>
      </c>
      <c r="L442" s="282">
        <v>134.4</v>
      </c>
      <c r="M442" s="282">
        <f t="shared" si="116"/>
        <v>1.1599999999999999</v>
      </c>
      <c r="N442" s="282">
        <f t="shared" si="120"/>
        <v>1.155</v>
      </c>
      <c r="O442" s="271"/>
      <c r="P442" s="261"/>
      <c r="Q442" s="16">
        <v>2811500390</v>
      </c>
      <c r="R442" t="s">
        <v>706</v>
      </c>
      <c r="S442" s="343">
        <v>182.26999999999998</v>
      </c>
    </row>
    <row r="443" spans="2:19">
      <c r="B443" s="215">
        <v>2813054000</v>
      </c>
      <c r="E443" s="216">
        <f t="shared" si="117"/>
        <v>173.41</v>
      </c>
      <c r="F443" s="216">
        <v>130.06</v>
      </c>
      <c r="G443" s="222" t="s">
        <v>1420</v>
      </c>
      <c r="J443" s="49">
        <f t="shared" si="118"/>
        <v>2813054000</v>
      </c>
      <c r="K443" s="217">
        <f t="shared" si="119"/>
        <v>173.41</v>
      </c>
      <c r="L443" s="282">
        <v>19.55</v>
      </c>
      <c r="M443" s="282">
        <f t="shared" si="116"/>
        <v>130.06</v>
      </c>
      <c r="N443" s="282">
        <f t="shared" si="120"/>
        <v>130.0575</v>
      </c>
      <c r="O443" s="271"/>
      <c r="P443" s="261"/>
      <c r="Q443" s="16">
        <v>2811500480</v>
      </c>
      <c r="R443" t="s">
        <v>848</v>
      </c>
      <c r="S443" s="349">
        <v>84.81</v>
      </c>
    </row>
    <row r="444" spans="2:19">
      <c r="B444" s="215">
        <v>2813064000</v>
      </c>
      <c r="E444" s="216">
        <f t="shared" si="117"/>
        <v>25.240000000000002</v>
      </c>
      <c r="F444" s="216">
        <v>18.93</v>
      </c>
      <c r="G444" s="222" t="s">
        <v>1421</v>
      </c>
      <c r="J444" s="49">
        <f t="shared" si="118"/>
        <v>2813064000</v>
      </c>
      <c r="K444" s="217">
        <f t="shared" si="119"/>
        <v>25.240000000000002</v>
      </c>
      <c r="L444" s="282">
        <v>23.95</v>
      </c>
      <c r="M444" s="282">
        <f t="shared" si="116"/>
        <v>18.93</v>
      </c>
      <c r="N444" s="282">
        <f t="shared" si="120"/>
        <v>18.93</v>
      </c>
      <c r="O444" s="271"/>
      <c r="P444" s="261"/>
      <c r="Q444" s="16">
        <v>2811500490</v>
      </c>
      <c r="R444" t="s">
        <v>708</v>
      </c>
      <c r="S444" s="343">
        <v>139.82</v>
      </c>
    </row>
    <row r="445" spans="2:19">
      <c r="B445" s="215">
        <v>2813074000</v>
      </c>
      <c r="E445" s="216">
        <f t="shared" si="117"/>
        <v>30.89</v>
      </c>
      <c r="F445" s="216">
        <v>23.17</v>
      </c>
      <c r="G445" s="222" t="s">
        <v>1422</v>
      </c>
      <c r="J445" s="49">
        <f t="shared" si="118"/>
        <v>2813074000</v>
      </c>
      <c r="K445" s="217">
        <f t="shared" si="119"/>
        <v>30.89</v>
      </c>
      <c r="L445" s="282">
        <v>41.84</v>
      </c>
      <c r="M445" s="282">
        <f t="shared" si="116"/>
        <v>23.17</v>
      </c>
      <c r="N445" s="282">
        <f t="shared" si="120"/>
        <v>23.1675</v>
      </c>
      <c r="O445" s="271"/>
      <c r="P445" s="261"/>
      <c r="Q445" s="16">
        <v>2811500580</v>
      </c>
      <c r="R445" t="s">
        <v>849</v>
      </c>
      <c r="S445" s="349">
        <v>108.25</v>
      </c>
    </row>
    <row r="446" spans="2:19">
      <c r="B446" s="215">
        <v>2813100000</v>
      </c>
      <c r="E446" s="216">
        <f t="shared" si="117"/>
        <v>53.98</v>
      </c>
      <c r="F446" s="216">
        <v>40.49</v>
      </c>
      <c r="G446" s="222" t="s">
        <v>1423</v>
      </c>
      <c r="J446" s="49">
        <f t="shared" si="118"/>
        <v>2813100000</v>
      </c>
      <c r="K446" s="217">
        <f t="shared" si="119"/>
        <v>53.98</v>
      </c>
      <c r="L446" s="282">
        <v>5.41</v>
      </c>
      <c r="M446" s="282">
        <f t="shared" si="116"/>
        <v>40.49</v>
      </c>
      <c r="N446" s="282">
        <f t="shared" si="120"/>
        <v>40.484999999999999</v>
      </c>
      <c r="O446" s="271"/>
      <c r="P446" s="261"/>
      <c r="Q446" s="16">
        <v>2811500590</v>
      </c>
      <c r="R446" t="s">
        <v>850</v>
      </c>
      <c r="S446" s="343">
        <v>196.48999999999998</v>
      </c>
    </row>
    <row r="447" spans="2:19">
      <c r="B447" s="215">
        <v>2813100280</v>
      </c>
      <c r="E447" s="216">
        <f t="shared" si="117"/>
        <v>6.99</v>
      </c>
      <c r="F447" s="216">
        <v>5.24</v>
      </c>
      <c r="G447" s="222" t="s">
        <v>1424</v>
      </c>
      <c r="J447" s="49">
        <f t="shared" si="118"/>
        <v>2813100280</v>
      </c>
      <c r="K447" s="217">
        <f t="shared" si="119"/>
        <v>6.99</v>
      </c>
      <c r="L447" s="282">
        <v>25.13</v>
      </c>
      <c r="M447" s="282">
        <f t="shared" si="116"/>
        <v>5.24</v>
      </c>
      <c r="N447" s="282">
        <f t="shared" si="120"/>
        <v>5.2424999999999997</v>
      </c>
      <c r="O447" s="271"/>
      <c r="P447" s="261"/>
      <c r="Q447" s="16">
        <v>2811500680</v>
      </c>
      <c r="R447" t="s">
        <v>851</v>
      </c>
      <c r="S447" s="349">
        <v>61.79</v>
      </c>
    </row>
    <row r="448" spans="2:19">
      <c r="B448" s="215">
        <v>2813100281</v>
      </c>
      <c r="E448" s="216">
        <f t="shared" si="117"/>
        <v>32.449999999999996</v>
      </c>
      <c r="F448" s="216">
        <v>24.34</v>
      </c>
      <c r="G448" s="222" t="s">
        <v>1425</v>
      </c>
      <c r="J448" s="49">
        <f t="shared" si="118"/>
        <v>2813100281</v>
      </c>
      <c r="K448" s="217">
        <f t="shared" si="119"/>
        <v>32.449999999999996</v>
      </c>
      <c r="L448" s="282">
        <v>5.36</v>
      </c>
      <c r="M448" s="282">
        <f t="shared" si="116"/>
        <v>24.34</v>
      </c>
      <c r="N448" s="282">
        <f t="shared" si="120"/>
        <v>24.337499999999999</v>
      </c>
      <c r="O448" s="271"/>
      <c r="P448" s="261"/>
      <c r="Q448" s="16">
        <v>2811501180</v>
      </c>
      <c r="R448" t="s">
        <v>852</v>
      </c>
      <c r="S448" s="343">
        <v>141.57999999999998</v>
      </c>
    </row>
    <row r="449" spans="2:20">
      <c r="B449" s="215">
        <v>2813100380</v>
      </c>
      <c r="E449" s="216">
        <f t="shared" si="117"/>
        <v>6.9399999999999995</v>
      </c>
      <c r="F449" s="216">
        <v>5.21</v>
      </c>
      <c r="G449" s="222" t="s">
        <v>1426</v>
      </c>
      <c r="J449" s="49">
        <f t="shared" si="118"/>
        <v>2813100380</v>
      </c>
      <c r="K449" s="217">
        <f t="shared" si="119"/>
        <v>6.9399999999999995</v>
      </c>
      <c r="L449" s="282">
        <v>21.8</v>
      </c>
      <c r="M449" s="282">
        <f t="shared" si="116"/>
        <v>5.21</v>
      </c>
      <c r="N449" s="282">
        <f t="shared" si="120"/>
        <v>5.2050000000000001</v>
      </c>
      <c r="O449" s="271"/>
      <c r="P449" s="261"/>
      <c r="Q449" s="16">
        <v>2811501280</v>
      </c>
      <c r="R449" s="347" t="s">
        <v>853</v>
      </c>
      <c r="S449" s="349">
        <v>78.850000000000009</v>
      </c>
    </row>
    <row r="450" spans="2:20">
      <c r="B450" s="215">
        <v>2813100381</v>
      </c>
      <c r="E450" s="216">
        <f t="shared" si="117"/>
        <v>28.110000000000003</v>
      </c>
      <c r="F450" s="216">
        <v>21.08</v>
      </c>
      <c r="G450" s="222" t="s">
        <v>1427</v>
      </c>
      <c r="J450" s="49">
        <f t="shared" si="118"/>
        <v>2813100381</v>
      </c>
      <c r="K450" s="217">
        <f t="shared" si="119"/>
        <v>28.110000000000003</v>
      </c>
      <c r="L450" s="282">
        <v>6.38</v>
      </c>
      <c r="M450" s="282">
        <f t="shared" si="116"/>
        <v>21.08</v>
      </c>
      <c r="N450" s="282">
        <f t="shared" si="120"/>
        <v>21.082500000000003</v>
      </c>
      <c r="O450" s="271"/>
      <c r="P450" s="265"/>
      <c r="Q450" s="16">
        <v>2811502202</v>
      </c>
      <c r="R450" t="s">
        <v>854</v>
      </c>
      <c r="S450" s="343">
        <v>4.0599999999999996</v>
      </c>
    </row>
    <row r="451" spans="2:20">
      <c r="B451" s="215">
        <v>2813100480</v>
      </c>
      <c r="E451" s="216">
        <f t="shared" si="117"/>
        <v>8.25</v>
      </c>
      <c r="F451" s="216">
        <v>6.19</v>
      </c>
      <c r="G451" s="222" t="s">
        <v>1428</v>
      </c>
      <c r="J451" s="49">
        <f t="shared" si="118"/>
        <v>2813100480</v>
      </c>
      <c r="K451" s="217">
        <f t="shared" si="119"/>
        <v>8.25</v>
      </c>
      <c r="L451" s="282">
        <v>7.98</v>
      </c>
      <c r="M451" s="282">
        <f t="shared" si="116"/>
        <v>6.19</v>
      </c>
      <c r="N451" s="282">
        <f t="shared" si="120"/>
        <v>6.1875</v>
      </c>
      <c r="O451" s="271"/>
      <c r="P451" s="261"/>
      <c r="Q451" s="16">
        <v>2811502220</v>
      </c>
      <c r="R451" t="s">
        <v>855</v>
      </c>
      <c r="S451" s="343">
        <v>87.550000000000011</v>
      </c>
    </row>
    <row r="452" spans="2:20">
      <c r="B452" s="215">
        <v>2813100580</v>
      </c>
      <c r="E452" s="216">
        <f t="shared" si="117"/>
        <v>10.29</v>
      </c>
      <c r="F452" s="216">
        <v>7.72</v>
      </c>
      <c r="G452" s="222" t="s">
        <v>1429</v>
      </c>
      <c r="J452" s="49">
        <f t="shared" si="118"/>
        <v>2813100580</v>
      </c>
      <c r="K452" s="217">
        <f t="shared" si="119"/>
        <v>10.29</v>
      </c>
      <c r="L452" s="282">
        <v>7.76</v>
      </c>
      <c r="M452" s="282">
        <f t="shared" si="116"/>
        <v>7.72</v>
      </c>
      <c r="N452" s="282">
        <f t="shared" si="120"/>
        <v>7.7174999999999994</v>
      </c>
      <c r="O452" s="271"/>
      <c r="P452" s="261"/>
      <c r="Q452" s="16">
        <v>2811502800</v>
      </c>
      <c r="R452" t="s">
        <v>856</v>
      </c>
      <c r="S452" s="343">
        <v>35.6</v>
      </c>
      <c r="T452">
        <v>39.159999999999997</v>
      </c>
    </row>
    <row r="453" spans="2:20">
      <c r="B453" s="215">
        <v>2813100680</v>
      </c>
      <c r="E453" s="216">
        <f t="shared" si="117"/>
        <v>10.01</v>
      </c>
      <c r="F453" s="216">
        <v>7.51</v>
      </c>
      <c r="G453" s="222" t="s">
        <v>1430</v>
      </c>
      <c r="J453" s="49">
        <f t="shared" si="118"/>
        <v>2813100680</v>
      </c>
      <c r="K453" s="217">
        <f t="shared" si="119"/>
        <v>10.01</v>
      </c>
      <c r="L453" s="282">
        <v>9.59</v>
      </c>
      <c r="M453" s="282">
        <f t="shared" si="116"/>
        <v>7.51</v>
      </c>
      <c r="N453" s="282">
        <f t="shared" si="120"/>
        <v>7.5075000000000003</v>
      </c>
      <c r="O453" s="275"/>
      <c r="P453" s="261"/>
      <c r="Q453" s="16">
        <v>2811505181</v>
      </c>
      <c r="R453" t="s">
        <v>857</v>
      </c>
      <c r="S453" s="349">
        <v>267.27</v>
      </c>
    </row>
    <row r="454" spans="2:20">
      <c r="B454" s="215">
        <v>2813101300</v>
      </c>
      <c r="E454" s="216">
        <f t="shared" si="117"/>
        <v>12.37</v>
      </c>
      <c r="F454" s="216">
        <v>9.2799999999999994</v>
      </c>
      <c r="G454" s="222" t="s">
        <v>1431</v>
      </c>
      <c r="J454" s="49">
        <f t="shared" si="118"/>
        <v>2813101300</v>
      </c>
      <c r="K454" s="217">
        <f t="shared" si="119"/>
        <v>12.37</v>
      </c>
      <c r="L454" s="282">
        <v>7.7</v>
      </c>
      <c r="M454" s="282">
        <f t="shared" si="116"/>
        <v>9.2799999999999994</v>
      </c>
      <c r="N454" s="282">
        <f t="shared" si="120"/>
        <v>9.2774999999999999</v>
      </c>
      <c r="O454" s="275"/>
      <c r="P454" s="261"/>
      <c r="Q454" s="16">
        <v>2811506100</v>
      </c>
      <c r="R454" t="s">
        <v>1441</v>
      </c>
      <c r="S454" s="343">
        <v>218.79</v>
      </c>
    </row>
    <row r="455" spans="2:20">
      <c r="B455" s="215">
        <v>2813101780</v>
      </c>
      <c r="E455" s="216">
        <f t="shared" si="117"/>
        <v>9.9499999999999993</v>
      </c>
      <c r="F455" s="216">
        <v>7.46</v>
      </c>
      <c r="G455" s="222" t="s">
        <v>1432</v>
      </c>
      <c r="J455" s="49">
        <f t="shared" si="118"/>
        <v>2813101780</v>
      </c>
      <c r="K455" s="217">
        <f t="shared" si="119"/>
        <v>9.9499999999999993</v>
      </c>
      <c r="L455" s="282">
        <v>7.52</v>
      </c>
      <c r="M455" s="282">
        <f t="shared" si="116"/>
        <v>7.46</v>
      </c>
      <c r="N455" s="282">
        <f t="shared" si="120"/>
        <v>7.4624999999999995</v>
      </c>
      <c r="O455" s="275"/>
      <c r="P455" s="261"/>
      <c r="Q455" s="16">
        <v>2811506200</v>
      </c>
      <c r="R455" t="s">
        <v>858</v>
      </c>
      <c r="S455" s="343">
        <v>218.79</v>
      </c>
    </row>
    <row r="456" spans="2:20">
      <c r="B456" s="215">
        <v>2813101980</v>
      </c>
      <c r="E456" s="216">
        <f t="shared" si="117"/>
        <v>9.7099999999999991</v>
      </c>
      <c r="F456" s="216">
        <v>7.28</v>
      </c>
      <c r="G456" s="222" t="s">
        <v>1433</v>
      </c>
      <c r="J456" s="49">
        <f t="shared" si="118"/>
        <v>2813101980</v>
      </c>
      <c r="K456" s="217">
        <f t="shared" si="119"/>
        <v>9.7099999999999991</v>
      </c>
      <c r="L456" s="282">
        <v>7.94</v>
      </c>
      <c r="M456" s="282">
        <f t="shared" si="116"/>
        <v>7.28</v>
      </c>
      <c r="N456" s="282">
        <f t="shared" si="120"/>
        <v>7.2824999999999989</v>
      </c>
      <c r="O456" s="275"/>
      <c r="P456" s="261"/>
      <c r="Q456" s="16">
        <v>2811506301</v>
      </c>
      <c r="R456" s="347" t="s">
        <v>734</v>
      </c>
      <c r="S456" s="343">
        <v>79.099999999999994</v>
      </c>
    </row>
    <row r="457" spans="2:20">
      <c r="B457" s="215">
        <v>2813102200</v>
      </c>
      <c r="E457" s="216">
        <f t="shared" si="117"/>
        <v>10.26</v>
      </c>
      <c r="F457" s="216">
        <v>7.7</v>
      </c>
      <c r="G457" s="222" t="s">
        <v>1434</v>
      </c>
      <c r="J457" s="49">
        <f t="shared" si="118"/>
        <v>2813102200</v>
      </c>
      <c r="K457" s="217">
        <f t="shared" si="119"/>
        <v>10.26</v>
      </c>
      <c r="L457" s="282">
        <v>10.51</v>
      </c>
      <c r="M457" s="282">
        <f t="shared" si="116"/>
        <v>7.7</v>
      </c>
      <c r="N457" s="282">
        <f t="shared" si="120"/>
        <v>7.6950000000000003</v>
      </c>
      <c r="O457" s="275"/>
      <c r="P457" s="261"/>
      <c r="Q457" s="16">
        <v>2811509500</v>
      </c>
      <c r="R457" t="s">
        <v>859</v>
      </c>
      <c r="S457" s="343">
        <v>18.520000000000003</v>
      </c>
    </row>
    <row r="458" spans="2:20">
      <c r="B458" s="215">
        <v>2813102800</v>
      </c>
      <c r="E458" s="216">
        <f t="shared" si="117"/>
        <v>13.58</v>
      </c>
      <c r="F458" s="216">
        <v>10.19</v>
      </c>
      <c r="G458" s="222" t="s">
        <v>1435</v>
      </c>
      <c r="J458" s="49">
        <f t="shared" si="118"/>
        <v>2813102800</v>
      </c>
      <c r="K458" s="217">
        <f t="shared" si="119"/>
        <v>13.58</v>
      </c>
      <c r="L458" s="282">
        <v>60.55</v>
      </c>
      <c r="M458" s="282">
        <f t="shared" si="116"/>
        <v>10.19</v>
      </c>
      <c r="N458" s="282">
        <f t="shared" si="120"/>
        <v>10.185</v>
      </c>
      <c r="O458" s="261"/>
      <c r="P458" s="261"/>
      <c r="Q458" s="16">
        <v>2811510780</v>
      </c>
      <c r="R458" t="s">
        <v>860</v>
      </c>
      <c r="S458" s="343">
        <v>95.9</v>
      </c>
    </row>
    <row r="459" spans="2:20">
      <c r="B459" s="215">
        <v>2813105180</v>
      </c>
      <c r="E459" s="216">
        <f t="shared" si="117"/>
        <v>78.150000000000006</v>
      </c>
      <c r="F459" s="216">
        <v>58.61</v>
      </c>
      <c r="G459" s="222" t="s">
        <v>1436</v>
      </c>
      <c r="J459" s="49">
        <f t="shared" si="118"/>
        <v>2813105180</v>
      </c>
      <c r="K459" s="217">
        <f t="shared" si="119"/>
        <v>78.150000000000006</v>
      </c>
      <c r="L459" s="282">
        <v>172.97</v>
      </c>
      <c r="M459" s="282">
        <f t="shared" si="116"/>
        <v>58.61</v>
      </c>
      <c r="N459" s="282">
        <f t="shared" si="120"/>
        <v>58.612500000000004</v>
      </c>
      <c r="O459" s="261"/>
      <c r="P459" s="261"/>
      <c r="Q459" s="16">
        <v>2811511080</v>
      </c>
      <c r="R459" t="s">
        <v>861</v>
      </c>
      <c r="S459" s="349">
        <v>68.160000000000011</v>
      </c>
    </row>
    <row r="460" spans="2:20">
      <c r="B460" s="215">
        <v>2813110000</v>
      </c>
      <c r="E460" s="216">
        <f t="shared" si="117"/>
        <v>223.17999999999998</v>
      </c>
      <c r="F460" s="216">
        <v>167.39</v>
      </c>
      <c r="G460" s="222" t="s">
        <v>1437</v>
      </c>
      <c r="J460" s="49">
        <f t="shared" si="118"/>
        <v>2813110000</v>
      </c>
      <c r="K460" s="217">
        <f t="shared" si="119"/>
        <v>223.17999999999998</v>
      </c>
      <c r="L460" s="282">
        <v>2.61</v>
      </c>
      <c r="M460" s="282">
        <f t="shared" si="116"/>
        <v>167.39</v>
      </c>
      <c r="N460" s="282">
        <f t="shared" si="120"/>
        <v>167.38499999999999</v>
      </c>
      <c r="O460" s="261"/>
      <c r="P460" s="261"/>
      <c r="Q460" s="16">
        <v>2811511280</v>
      </c>
      <c r="R460" s="347" t="s">
        <v>862</v>
      </c>
      <c r="S460" s="349">
        <v>80.75</v>
      </c>
    </row>
    <row r="461" spans="2:20">
      <c r="B461" s="215">
        <v>2813112800</v>
      </c>
      <c r="E461" s="216">
        <f t="shared" si="117"/>
        <v>3.3899999999999997</v>
      </c>
      <c r="F461" s="216">
        <v>2.54</v>
      </c>
      <c r="G461" s="222" t="s">
        <v>1438</v>
      </c>
      <c r="J461" s="49">
        <f t="shared" si="118"/>
        <v>2813112800</v>
      </c>
      <c r="K461" s="217">
        <f t="shared" si="119"/>
        <v>3.3899999999999997</v>
      </c>
      <c r="L461" s="282">
        <v>70.599999999999994</v>
      </c>
      <c r="M461" s="282">
        <f t="shared" si="116"/>
        <v>2.54</v>
      </c>
      <c r="N461" s="282">
        <f t="shared" si="120"/>
        <v>2.5424999999999995</v>
      </c>
      <c r="O461" s="261"/>
      <c r="P461" s="276"/>
      <c r="Q461" s="16">
        <v>2811512220</v>
      </c>
      <c r="R461" t="s">
        <v>863</v>
      </c>
      <c r="S461" s="349">
        <v>77.63000000000001</v>
      </c>
    </row>
    <row r="462" spans="2:20">
      <c r="B462" s="215">
        <v>2813120000</v>
      </c>
      <c r="E462" s="216">
        <f t="shared" si="117"/>
        <v>91.12</v>
      </c>
      <c r="F462" s="216">
        <v>68.34</v>
      </c>
      <c r="G462" s="222" t="s">
        <v>1439</v>
      </c>
      <c r="J462" s="49">
        <f t="shared" si="118"/>
        <v>2813120000</v>
      </c>
      <c r="K462" s="217">
        <f t="shared" si="119"/>
        <v>91.12</v>
      </c>
      <c r="L462" s="282">
        <v>53.53</v>
      </c>
      <c r="M462" s="282">
        <f t="shared" si="116"/>
        <v>68.34</v>
      </c>
      <c r="N462" s="282">
        <f t="shared" si="120"/>
        <v>68.34</v>
      </c>
      <c r="O462" s="261"/>
      <c r="P462" s="261"/>
      <c r="Q462" s="16">
        <v>2811520780</v>
      </c>
      <c r="R462" t="s">
        <v>864</v>
      </c>
      <c r="S462" s="349">
        <v>114.04</v>
      </c>
    </row>
    <row r="463" spans="2:20">
      <c r="B463" s="215">
        <v>2813122200</v>
      </c>
      <c r="E463" s="216">
        <f t="shared" si="117"/>
        <v>69.08</v>
      </c>
      <c r="F463" s="216">
        <v>51.81</v>
      </c>
      <c r="G463" s="222" t="s">
        <v>1440</v>
      </c>
      <c r="J463" s="49">
        <f t="shared" si="118"/>
        <v>2813122200</v>
      </c>
      <c r="K463" s="217">
        <f t="shared" si="119"/>
        <v>69.08</v>
      </c>
      <c r="L463" s="282">
        <v>172.97</v>
      </c>
      <c r="M463" s="282">
        <f t="shared" si="116"/>
        <v>51.81</v>
      </c>
      <c r="N463" s="282">
        <f t="shared" si="120"/>
        <v>51.81</v>
      </c>
      <c r="O463" s="261"/>
      <c r="P463" s="265"/>
      <c r="Q463" s="16">
        <v>2811520880</v>
      </c>
      <c r="R463" t="s">
        <v>824</v>
      </c>
      <c r="S463" s="343">
        <v>122.56</v>
      </c>
    </row>
    <row r="464" spans="2:20">
      <c r="B464" s="215">
        <v>2813130000</v>
      </c>
      <c r="E464" s="216">
        <f t="shared" si="117"/>
        <v>223.17999999999998</v>
      </c>
      <c r="F464" s="216">
        <v>167.39</v>
      </c>
      <c r="G464" s="222" t="s">
        <v>1442</v>
      </c>
      <c r="J464" s="49">
        <f t="shared" si="118"/>
        <v>2813130000</v>
      </c>
      <c r="K464" s="217">
        <f t="shared" si="119"/>
        <v>223.17999999999998</v>
      </c>
      <c r="L464" s="282">
        <v>36.700000000000003</v>
      </c>
      <c r="M464" s="282">
        <f t="shared" si="116"/>
        <v>167.39</v>
      </c>
      <c r="N464" s="282">
        <f t="shared" si="120"/>
        <v>167.38499999999999</v>
      </c>
      <c r="O464" s="261"/>
      <c r="P464" s="265"/>
      <c r="Q464" s="16">
        <v>2811520980</v>
      </c>
      <c r="R464" t="s">
        <v>865</v>
      </c>
      <c r="S464" s="343">
        <v>170.94</v>
      </c>
    </row>
    <row r="465" spans="2:19">
      <c r="B465" s="215">
        <v>2813140000</v>
      </c>
      <c r="E465" s="216">
        <f t="shared" si="117"/>
        <v>47.35</v>
      </c>
      <c r="F465" s="216">
        <v>35.51</v>
      </c>
      <c r="G465" s="222" t="s">
        <v>1443</v>
      </c>
      <c r="J465" s="49">
        <f t="shared" si="118"/>
        <v>2813140000</v>
      </c>
      <c r="K465" s="217">
        <f t="shared" si="119"/>
        <v>47.35</v>
      </c>
      <c r="L465" s="282">
        <v>61.43</v>
      </c>
      <c r="M465" s="282">
        <f t="shared" si="116"/>
        <v>35.51</v>
      </c>
      <c r="N465" s="282">
        <f t="shared" si="120"/>
        <v>35.512500000000003</v>
      </c>
      <c r="O465" s="261"/>
      <c r="P465" s="261"/>
      <c r="Q465" s="16">
        <v>2811521080</v>
      </c>
      <c r="R465" s="347" t="s">
        <v>866</v>
      </c>
      <c r="S465" s="349">
        <v>71.690000000000012</v>
      </c>
    </row>
    <row r="466" spans="2:19">
      <c r="B466" s="215">
        <v>2813200000</v>
      </c>
      <c r="E466" s="216">
        <f t="shared" si="117"/>
        <v>79.260000000000005</v>
      </c>
      <c r="F466" s="216">
        <v>59.45</v>
      </c>
      <c r="G466" s="222" t="s">
        <v>1444</v>
      </c>
      <c r="J466" s="49">
        <f t="shared" si="118"/>
        <v>2813200000</v>
      </c>
      <c r="K466" s="217">
        <f t="shared" si="119"/>
        <v>79.260000000000005</v>
      </c>
      <c r="L466" s="282">
        <v>6.88</v>
      </c>
      <c r="M466" s="282">
        <f t="shared" si="116"/>
        <v>59.45</v>
      </c>
      <c r="N466" s="282">
        <f t="shared" si="120"/>
        <v>59.445000000000007</v>
      </c>
      <c r="O466" s="261"/>
      <c r="P466" s="261"/>
      <c r="Q466" s="16">
        <v>2811540780</v>
      </c>
      <c r="R466" t="s">
        <v>867</v>
      </c>
      <c r="S466" s="349">
        <v>148.51999999999998</v>
      </c>
    </row>
    <row r="467" spans="2:19">
      <c r="B467" s="215">
        <v>2813200280</v>
      </c>
      <c r="E467" s="216">
        <f t="shared" si="117"/>
        <v>8.879999999999999</v>
      </c>
      <c r="F467" s="216">
        <v>6.66</v>
      </c>
      <c r="G467" s="222" t="s">
        <v>1445</v>
      </c>
      <c r="J467" s="49">
        <f t="shared" si="118"/>
        <v>2813200280</v>
      </c>
      <c r="K467" s="217">
        <f t="shared" si="119"/>
        <v>8.879999999999999</v>
      </c>
      <c r="L467" s="282">
        <v>26.93</v>
      </c>
      <c r="M467" s="282">
        <f t="shared" si="116"/>
        <v>6.66</v>
      </c>
      <c r="N467" s="282">
        <f t="shared" si="120"/>
        <v>6.6599999999999993</v>
      </c>
      <c r="O467" s="261"/>
      <c r="P467" s="261"/>
      <c r="Q467" s="16">
        <v>2811541780</v>
      </c>
      <c r="R467" t="s">
        <v>868</v>
      </c>
      <c r="S467" s="343">
        <v>119.06</v>
      </c>
    </row>
    <row r="468" spans="2:19">
      <c r="B468" s="215">
        <v>2813200281</v>
      </c>
      <c r="E468" s="216">
        <f t="shared" si="117"/>
        <v>34.75</v>
      </c>
      <c r="F468" s="216">
        <v>26.06</v>
      </c>
      <c r="G468" s="222" t="s">
        <v>1446</v>
      </c>
      <c r="J468" s="49">
        <f t="shared" si="118"/>
        <v>2813200281</v>
      </c>
      <c r="K468" s="217">
        <f t="shared" si="119"/>
        <v>34.75</v>
      </c>
      <c r="L468" s="282">
        <v>9.5399999999999991</v>
      </c>
      <c r="M468" s="282">
        <f t="shared" si="116"/>
        <v>26.06</v>
      </c>
      <c r="N468" s="282">
        <f t="shared" si="120"/>
        <v>26.0625</v>
      </c>
      <c r="O468" s="261"/>
      <c r="P468" s="261"/>
      <c r="Q468" s="16">
        <v>2811541880</v>
      </c>
      <c r="R468" t="s">
        <v>869</v>
      </c>
      <c r="S468" s="349">
        <v>89.09</v>
      </c>
    </row>
    <row r="469" spans="2:19">
      <c r="B469" s="215">
        <v>2813200380</v>
      </c>
      <c r="E469" s="216">
        <f t="shared" si="117"/>
        <v>12.32</v>
      </c>
      <c r="F469" s="216">
        <v>9.24</v>
      </c>
      <c r="G469" s="222" t="s">
        <v>1447</v>
      </c>
      <c r="J469" s="49">
        <f t="shared" si="118"/>
        <v>2813200380</v>
      </c>
      <c r="K469" s="217">
        <f t="shared" si="119"/>
        <v>12.32</v>
      </c>
      <c r="L469" s="282">
        <v>11.06</v>
      </c>
      <c r="M469" s="282">
        <f t="shared" si="116"/>
        <v>9.24</v>
      </c>
      <c r="N469" s="282">
        <f t="shared" si="120"/>
        <v>9.24</v>
      </c>
      <c r="O469" s="261"/>
      <c r="P469" s="261"/>
      <c r="Q469" s="16">
        <v>2811541980</v>
      </c>
      <c r="R469" t="s">
        <v>870</v>
      </c>
      <c r="S469" s="343">
        <v>67.86</v>
      </c>
    </row>
    <row r="470" spans="2:19">
      <c r="B470" s="215">
        <v>2813200381</v>
      </c>
      <c r="E470" s="216">
        <f t="shared" si="117"/>
        <v>14.28</v>
      </c>
      <c r="F470" s="216">
        <v>10.71</v>
      </c>
      <c r="G470" s="222" t="s">
        <v>1448</v>
      </c>
      <c r="J470" s="49">
        <f t="shared" si="118"/>
        <v>2813200381</v>
      </c>
      <c r="K470" s="217">
        <f t="shared" si="119"/>
        <v>14.28</v>
      </c>
      <c r="L470" s="282">
        <v>7.16</v>
      </c>
      <c r="M470" s="282">
        <f t="shared" si="116"/>
        <v>10.71</v>
      </c>
      <c r="N470" s="282">
        <f t="shared" si="120"/>
        <v>10.709999999999999</v>
      </c>
      <c r="O470" s="261"/>
      <c r="P470" s="265"/>
      <c r="Q470" s="16">
        <v>2811542080</v>
      </c>
      <c r="R470" t="s">
        <v>871</v>
      </c>
      <c r="S470" s="343">
        <v>115.81</v>
      </c>
    </row>
    <row r="471" spans="2:19">
      <c r="B471" s="215">
        <v>2813200480</v>
      </c>
      <c r="E471" s="216">
        <f t="shared" si="117"/>
        <v>9.24</v>
      </c>
      <c r="F471" s="216">
        <v>6.93</v>
      </c>
      <c r="G471" s="222" t="s">
        <v>1449</v>
      </c>
      <c r="J471" s="49">
        <f t="shared" si="118"/>
        <v>2813200480</v>
      </c>
      <c r="K471" s="217">
        <f t="shared" si="119"/>
        <v>9.24</v>
      </c>
      <c r="L471" s="282">
        <v>14.92</v>
      </c>
      <c r="M471" s="282">
        <f t="shared" si="116"/>
        <v>6.93</v>
      </c>
      <c r="N471" s="282">
        <f t="shared" si="120"/>
        <v>6.93</v>
      </c>
      <c r="O471" s="261"/>
      <c r="P471" s="261"/>
      <c r="Q471" s="16">
        <v>2811542180</v>
      </c>
      <c r="R471" t="s">
        <v>872</v>
      </c>
      <c r="S471" s="349">
        <v>83.070000000000007</v>
      </c>
    </row>
    <row r="472" spans="2:19">
      <c r="B472" s="215">
        <v>2813200580</v>
      </c>
      <c r="E472" s="216">
        <f t="shared" si="117"/>
        <v>19.260000000000002</v>
      </c>
      <c r="F472" s="216">
        <v>14.45</v>
      </c>
      <c r="G472" s="222" t="s">
        <v>1450</v>
      </c>
      <c r="J472" s="49">
        <f t="shared" si="118"/>
        <v>2813200580</v>
      </c>
      <c r="K472" s="217">
        <f t="shared" si="119"/>
        <v>19.260000000000002</v>
      </c>
      <c r="L472" s="282">
        <v>12.66</v>
      </c>
      <c r="M472" s="282">
        <f t="shared" si="116"/>
        <v>14.45</v>
      </c>
      <c r="N472" s="282">
        <f t="shared" si="120"/>
        <v>14.445</v>
      </c>
      <c r="O472" s="261"/>
      <c r="P472" s="261"/>
      <c r="Q472" s="16">
        <v>2811551380</v>
      </c>
      <c r="R472" t="s">
        <v>873</v>
      </c>
      <c r="S472" s="343">
        <v>143.07999999999998</v>
      </c>
    </row>
    <row r="473" spans="2:19">
      <c r="B473" s="215">
        <v>2813200680</v>
      </c>
      <c r="E473" s="216">
        <f t="shared" si="117"/>
        <v>16.34</v>
      </c>
      <c r="F473" s="216">
        <v>12.26</v>
      </c>
      <c r="G473" s="222" t="s">
        <v>1451</v>
      </c>
      <c r="J473" s="49">
        <f t="shared" si="118"/>
        <v>2813200680</v>
      </c>
      <c r="K473" s="217">
        <f t="shared" si="119"/>
        <v>16.34</v>
      </c>
      <c r="L473" s="282">
        <v>9.9499999999999993</v>
      </c>
      <c r="M473" s="282">
        <f t="shared" si="116"/>
        <v>12.26</v>
      </c>
      <c r="N473" s="282">
        <f t="shared" si="120"/>
        <v>12.254999999999999</v>
      </c>
      <c r="O473" s="261"/>
      <c r="P473" s="265"/>
      <c r="Q473" s="16">
        <v>2811551480</v>
      </c>
      <c r="R473" t="s">
        <v>874</v>
      </c>
      <c r="S473" s="349">
        <v>106.17</v>
      </c>
    </row>
    <row r="474" spans="2:19">
      <c r="B474" s="215">
        <v>2813201300</v>
      </c>
      <c r="E474" s="216">
        <f t="shared" si="117"/>
        <v>12.84</v>
      </c>
      <c r="F474" s="216">
        <v>9.6300000000000008</v>
      </c>
      <c r="G474" s="222" t="s">
        <v>1452</v>
      </c>
      <c r="J474" s="49">
        <f t="shared" si="118"/>
        <v>2813201300</v>
      </c>
      <c r="K474" s="217">
        <f t="shared" si="119"/>
        <v>12.84</v>
      </c>
      <c r="L474" s="282">
        <v>11.65</v>
      </c>
      <c r="M474" s="282">
        <f t="shared" si="116"/>
        <v>9.6300000000000008</v>
      </c>
      <c r="N474" s="282">
        <f t="shared" si="120"/>
        <v>9.629999999999999</v>
      </c>
      <c r="O474" s="261"/>
      <c r="P474" s="261"/>
      <c r="Q474" s="16">
        <v>2811551780</v>
      </c>
      <c r="R474" t="s">
        <v>875</v>
      </c>
      <c r="S474" s="343">
        <v>58.87</v>
      </c>
    </row>
    <row r="475" spans="2:19">
      <c r="B475" s="215">
        <v>2813201780</v>
      </c>
      <c r="E475" s="216">
        <f t="shared" si="117"/>
        <v>15.03</v>
      </c>
      <c r="F475" s="216">
        <v>11.27</v>
      </c>
      <c r="G475" s="222" t="s">
        <v>1453</v>
      </c>
      <c r="J475" s="49">
        <f t="shared" si="118"/>
        <v>2813201780</v>
      </c>
      <c r="K475" s="217">
        <f t="shared" si="119"/>
        <v>15.03</v>
      </c>
      <c r="L475" s="282">
        <v>13.16</v>
      </c>
      <c r="M475" s="282">
        <f t="shared" si="116"/>
        <v>11.27</v>
      </c>
      <c r="N475" s="282">
        <f t="shared" si="120"/>
        <v>11.272499999999999</v>
      </c>
      <c r="O475" s="261"/>
      <c r="P475" s="261"/>
      <c r="Q475" s="16">
        <v>2811551880</v>
      </c>
      <c r="R475" t="s">
        <v>876</v>
      </c>
      <c r="S475" s="349">
        <v>91.47</v>
      </c>
    </row>
    <row r="476" spans="2:19">
      <c r="B476" s="215">
        <v>2813201980</v>
      </c>
      <c r="E476" s="216">
        <f t="shared" si="117"/>
        <v>16.990000000000002</v>
      </c>
      <c r="F476" s="216">
        <v>12.74</v>
      </c>
      <c r="G476" s="222" t="s">
        <v>1454</v>
      </c>
      <c r="J476" s="49">
        <f t="shared" si="118"/>
        <v>2813201980</v>
      </c>
      <c r="K476" s="217">
        <f t="shared" si="119"/>
        <v>16.990000000000002</v>
      </c>
      <c r="L476" s="282">
        <v>9.0399999999999991</v>
      </c>
      <c r="M476" s="282">
        <f t="shared" si="116"/>
        <v>12.74</v>
      </c>
      <c r="N476" s="282">
        <f t="shared" si="120"/>
        <v>12.742500000000001</v>
      </c>
      <c r="O476" s="261"/>
      <c r="P476" s="261"/>
      <c r="Q476" s="16">
        <v>2811551980</v>
      </c>
      <c r="R476" t="s">
        <v>877</v>
      </c>
      <c r="S476" s="343">
        <v>56.51</v>
      </c>
    </row>
    <row r="477" spans="2:19">
      <c r="B477" s="215">
        <v>2813202200</v>
      </c>
      <c r="E477" s="216">
        <f t="shared" si="117"/>
        <v>11.66</v>
      </c>
      <c r="F477" s="216">
        <v>8.75</v>
      </c>
      <c r="G477" s="222" t="s">
        <v>1455</v>
      </c>
      <c r="J477" s="49">
        <f t="shared" si="118"/>
        <v>2813202200</v>
      </c>
      <c r="K477" s="217">
        <f t="shared" si="119"/>
        <v>11.66</v>
      </c>
      <c r="L477" s="282">
        <v>11.57</v>
      </c>
      <c r="M477" s="282">
        <f t="shared" si="116"/>
        <v>8.75</v>
      </c>
      <c r="N477" s="282">
        <f t="shared" si="120"/>
        <v>8.745000000000001</v>
      </c>
      <c r="O477" s="261"/>
      <c r="P477" s="261"/>
      <c r="Q477" s="16">
        <v>2811552080</v>
      </c>
      <c r="R477" t="s">
        <v>878</v>
      </c>
      <c r="S477" s="343">
        <v>58.769999999999996</v>
      </c>
    </row>
    <row r="478" spans="2:19">
      <c r="B478" s="215">
        <v>2813202800</v>
      </c>
      <c r="E478" s="216">
        <f t="shared" si="117"/>
        <v>14.94</v>
      </c>
      <c r="F478" s="216">
        <v>11.21</v>
      </c>
      <c r="G478" s="222" t="s">
        <v>1456</v>
      </c>
      <c r="J478" s="49">
        <f t="shared" si="118"/>
        <v>2813202800</v>
      </c>
      <c r="K478" s="217">
        <f t="shared" si="119"/>
        <v>14.94</v>
      </c>
      <c r="L478" s="282">
        <v>77.569999999999993</v>
      </c>
      <c r="M478" s="282">
        <f t="shared" si="116"/>
        <v>11.21</v>
      </c>
      <c r="N478" s="282">
        <f t="shared" si="120"/>
        <v>11.205</v>
      </c>
      <c r="O478" s="261"/>
      <c r="P478" s="265"/>
      <c r="Q478" s="16">
        <v>2811555281</v>
      </c>
      <c r="R478" t="s">
        <v>879</v>
      </c>
      <c r="S478" s="343">
        <v>225.72</v>
      </c>
    </row>
    <row r="479" spans="2:19">
      <c r="B479" s="215">
        <v>2813205180</v>
      </c>
      <c r="E479" s="216">
        <f t="shared" si="117"/>
        <v>100.10000000000001</v>
      </c>
      <c r="F479" s="216">
        <v>75.08</v>
      </c>
      <c r="G479" s="222" t="s">
        <v>1457</v>
      </c>
      <c r="J479" s="49">
        <f t="shared" si="118"/>
        <v>2813205180</v>
      </c>
      <c r="K479" s="217">
        <f t="shared" si="119"/>
        <v>100.10000000000001</v>
      </c>
      <c r="L479" s="282">
        <v>253.34</v>
      </c>
      <c r="M479" s="282">
        <f t="shared" si="116"/>
        <v>75.08</v>
      </c>
      <c r="N479" s="282">
        <f t="shared" si="120"/>
        <v>75.075000000000003</v>
      </c>
      <c r="O479" s="261"/>
      <c r="P479" s="261"/>
      <c r="Q479" s="16">
        <v>2811555381</v>
      </c>
      <c r="R479" t="s">
        <v>880</v>
      </c>
      <c r="S479" s="349">
        <v>231.60999999999999</v>
      </c>
    </row>
    <row r="480" spans="2:19">
      <c r="B480" s="215">
        <v>2813210000</v>
      </c>
      <c r="E480" s="216">
        <f t="shared" si="117"/>
        <v>326.86</v>
      </c>
      <c r="F480" s="216">
        <v>245.15</v>
      </c>
      <c r="G480" s="222" t="s">
        <v>1458</v>
      </c>
      <c r="J480" s="49">
        <f t="shared" si="118"/>
        <v>2813210000</v>
      </c>
      <c r="K480" s="217">
        <f t="shared" si="119"/>
        <v>326.86</v>
      </c>
      <c r="L480" s="282">
        <v>10.51</v>
      </c>
      <c r="M480" s="282">
        <f t="shared" ref="M480:M543" si="121">ROUND(N480,2)</f>
        <v>245.15</v>
      </c>
      <c r="N480" s="282">
        <f t="shared" si="120"/>
        <v>245.14500000000001</v>
      </c>
      <c r="O480" s="261"/>
      <c r="P480" s="261"/>
      <c r="Q480" s="16">
        <v>2811557700</v>
      </c>
      <c r="R480" t="s">
        <v>881</v>
      </c>
      <c r="S480" s="343">
        <v>14.51</v>
      </c>
    </row>
    <row r="481" spans="2:20">
      <c r="B481" s="215">
        <v>2813211300</v>
      </c>
      <c r="E481" s="216">
        <f t="shared" si="117"/>
        <v>13.57</v>
      </c>
      <c r="F481" s="216">
        <v>10.18</v>
      </c>
      <c r="G481" s="222" t="s">
        <v>1459</v>
      </c>
      <c r="J481" s="49">
        <f t="shared" si="118"/>
        <v>2813211300</v>
      </c>
      <c r="K481" s="217">
        <f t="shared" si="119"/>
        <v>13.57</v>
      </c>
      <c r="L481" s="282">
        <v>11.65</v>
      </c>
      <c r="M481" s="282">
        <f t="shared" si="121"/>
        <v>10.18</v>
      </c>
      <c r="N481" s="282">
        <f t="shared" si="120"/>
        <v>10.1775</v>
      </c>
      <c r="O481" s="261"/>
      <c r="P481" s="261"/>
      <c r="Q481" s="16">
        <v>2811557800</v>
      </c>
      <c r="R481" t="s">
        <v>882</v>
      </c>
      <c r="S481" s="343">
        <v>73.900000000000006</v>
      </c>
    </row>
    <row r="482" spans="2:20">
      <c r="B482" s="215">
        <v>2813211780</v>
      </c>
      <c r="E482" s="216">
        <f t="shared" si="117"/>
        <v>15.03</v>
      </c>
      <c r="F482" s="216">
        <v>11.27</v>
      </c>
      <c r="G482" s="222" t="s">
        <v>1460</v>
      </c>
      <c r="J482" s="49">
        <f t="shared" si="118"/>
        <v>2813211780</v>
      </c>
      <c r="K482" s="217">
        <f t="shared" si="119"/>
        <v>15.03</v>
      </c>
      <c r="L482" s="282">
        <v>14.45</v>
      </c>
      <c r="M482" s="282">
        <f t="shared" si="121"/>
        <v>11.27</v>
      </c>
      <c r="N482" s="282">
        <f t="shared" si="120"/>
        <v>11.272499999999999</v>
      </c>
      <c r="O482" s="261"/>
      <c r="P482" s="261"/>
      <c r="Q482" s="16">
        <v>2811557900</v>
      </c>
      <c r="R482" t="s">
        <v>883</v>
      </c>
      <c r="S482" s="343">
        <v>83.210000000000008</v>
      </c>
    </row>
    <row r="483" spans="2:20">
      <c r="B483" s="215">
        <v>2813211980</v>
      </c>
      <c r="E483" s="216">
        <f t="shared" si="117"/>
        <v>18.66</v>
      </c>
      <c r="F483" s="216">
        <v>14</v>
      </c>
      <c r="G483" s="222" t="s">
        <v>1461</v>
      </c>
      <c r="J483" s="49">
        <f t="shared" si="118"/>
        <v>2813211980</v>
      </c>
      <c r="K483" s="217">
        <f t="shared" si="119"/>
        <v>18.66</v>
      </c>
      <c r="L483" s="282">
        <v>103.38</v>
      </c>
      <c r="M483" s="282">
        <f t="shared" si="121"/>
        <v>14</v>
      </c>
      <c r="N483" s="282">
        <f t="shared" si="120"/>
        <v>13.995000000000001</v>
      </c>
      <c r="O483" s="261"/>
      <c r="P483" s="261"/>
      <c r="Q483" s="16">
        <v>2811600000</v>
      </c>
      <c r="R483" t="s">
        <v>884</v>
      </c>
      <c r="S483" s="349">
        <v>263.52</v>
      </c>
    </row>
    <row r="484" spans="2:20">
      <c r="B484" s="215">
        <v>2813220000</v>
      </c>
      <c r="E484" s="216">
        <f t="shared" si="117"/>
        <v>133.38999999999999</v>
      </c>
      <c r="F484" s="216">
        <v>100.04</v>
      </c>
      <c r="G484" s="222" t="s">
        <v>1462</v>
      </c>
      <c r="J484" s="49">
        <f t="shared" si="118"/>
        <v>2813220000</v>
      </c>
      <c r="K484" s="217">
        <f t="shared" si="119"/>
        <v>133.38999999999999</v>
      </c>
      <c r="L484" s="282">
        <v>6.01</v>
      </c>
      <c r="M484" s="282">
        <f t="shared" si="121"/>
        <v>100.04</v>
      </c>
      <c r="N484" s="282">
        <f t="shared" si="120"/>
        <v>100.04249999999999</v>
      </c>
      <c r="O484" s="261"/>
      <c r="P484" s="261"/>
      <c r="Q484" s="16">
        <v>2811600100</v>
      </c>
      <c r="R484" t="s">
        <v>885</v>
      </c>
      <c r="S484" s="343">
        <v>129.44</v>
      </c>
    </row>
    <row r="485" spans="2:20">
      <c r="B485" s="215">
        <v>2813222800</v>
      </c>
      <c r="E485" s="216">
        <f t="shared" si="117"/>
        <v>7.77</v>
      </c>
      <c r="F485" s="216">
        <v>5.83</v>
      </c>
      <c r="G485" s="222" t="s">
        <v>1463</v>
      </c>
      <c r="J485" s="49">
        <f t="shared" si="118"/>
        <v>2813222800</v>
      </c>
      <c r="K485" s="217">
        <f t="shared" si="119"/>
        <v>7.77</v>
      </c>
      <c r="L485" s="282">
        <v>226.19</v>
      </c>
      <c r="M485" s="282">
        <f t="shared" si="121"/>
        <v>5.83</v>
      </c>
      <c r="N485" s="282">
        <f t="shared" si="120"/>
        <v>5.8274999999999997</v>
      </c>
      <c r="O485" s="261"/>
      <c r="P485" s="261"/>
      <c r="Q485" s="16">
        <v>2811600201</v>
      </c>
      <c r="R485" t="s">
        <v>886</v>
      </c>
      <c r="S485" s="343">
        <v>111.6</v>
      </c>
    </row>
    <row r="486" spans="2:20">
      <c r="B486" s="215">
        <v>2813230000</v>
      </c>
      <c r="E486" s="216">
        <f t="shared" si="117"/>
        <v>291.83999999999997</v>
      </c>
      <c r="F486" s="216">
        <v>218.88</v>
      </c>
      <c r="G486" s="222" t="s">
        <v>1464</v>
      </c>
      <c r="J486" s="49">
        <f t="shared" si="118"/>
        <v>2813230000</v>
      </c>
      <c r="K486" s="217">
        <f t="shared" si="119"/>
        <v>291.83999999999997</v>
      </c>
      <c r="L486" s="282">
        <v>38.630000000000003</v>
      </c>
      <c r="M486" s="282">
        <f t="shared" si="121"/>
        <v>218.88</v>
      </c>
      <c r="N486" s="282">
        <f t="shared" si="120"/>
        <v>218.88</v>
      </c>
      <c r="O486" s="261"/>
      <c r="P486" s="261"/>
      <c r="Q486" s="16">
        <v>2811600290</v>
      </c>
      <c r="R486" t="s">
        <v>451</v>
      </c>
      <c r="S486" s="343">
        <v>89.06</v>
      </c>
    </row>
    <row r="487" spans="2:20">
      <c r="B487" s="215">
        <v>2813240000</v>
      </c>
      <c r="E487" s="216">
        <f t="shared" si="117"/>
        <v>49.839999999999996</v>
      </c>
      <c r="F487" s="216">
        <v>37.380000000000003</v>
      </c>
      <c r="G487" s="222" t="s">
        <v>1465</v>
      </c>
      <c r="J487" s="49">
        <f t="shared" si="118"/>
        <v>2813240000</v>
      </c>
      <c r="K487" s="217">
        <f t="shared" si="119"/>
        <v>49.839999999999996</v>
      </c>
      <c r="L487" s="282">
        <v>82.75</v>
      </c>
      <c r="M487" s="282">
        <f t="shared" si="121"/>
        <v>37.380000000000003</v>
      </c>
      <c r="N487" s="282">
        <f t="shared" si="120"/>
        <v>37.379999999999995</v>
      </c>
      <c r="O487" s="261"/>
      <c r="P487" s="261"/>
      <c r="Q487" s="16">
        <v>2811600301</v>
      </c>
      <c r="R487" t="s">
        <v>887</v>
      </c>
      <c r="S487" s="343">
        <v>38.11</v>
      </c>
    </row>
    <row r="488" spans="2:20">
      <c r="B488" s="215">
        <v>2813300000</v>
      </c>
      <c r="E488" s="216">
        <f t="shared" si="117"/>
        <v>106.76</v>
      </c>
      <c r="F488" s="216">
        <v>80.069999999999993</v>
      </c>
      <c r="G488" s="222" t="s">
        <v>1466</v>
      </c>
      <c r="J488" s="49">
        <f t="shared" si="118"/>
        <v>2813300000</v>
      </c>
      <c r="K488" s="217">
        <f t="shared" si="119"/>
        <v>106.76</v>
      </c>
      <c r="L488" s="282">
        <v>8.2100000000000009</v>
      </c>
      <c r="M488" s="282">
        <f t="shared" si="121"/>
        <v>80.069999999999993</v>
      </c>
      <c r="N488" s="282">
        <f t="shared" si="120"/>
        <v>80.070000000000007</v>
      </c>
      <c r="O488" s="261"/>
      <c r="P488" s="261"/>
      <c r="Q488" s="16">
        <v>2811600390</v>
      </c>
      <c r="R488" t="s">
        <v>452</v>
      </c>
      <c r="S488" s="343">
        <v>139.94</v>
      </c>
    </row>
    <row r="489" spans="2:20">
      <c r="B489" s="215">
        <v>2813300280</v>
      </c>
      <c r="E489" s="216">
        <f t="shared" si="117"/>
        <v>10.59</v>
      </c>
      <c r="F489" s="216">
        <v>7.94</v>
      </c>
      <c r="G489" s="222" t="s">
        <v>1467</v>
      </c>
      <c r="J489" s="49">
        <f t="shared" si="118"/>
        <v>2813300280</v>
      </c>
      <c r="K489" s="217">
        <f t="shared" si="119"/>
        <v>10.59</v>
      </c>
      <c r="L489" s="282">
        <v>28.62</v>
      </c>
      <c r="M489" s="282">
        <f t="shared" si="121"/>
        <v>7.94</v>
      </c>
      <c r="N489" s="282">
        <f t="shared" si="120"/>
        <v>7.9424999999999999</v>
      </c>
      <c r="O489" s="261"/>
      <c r="P489" s="261"/>
      <c r="Q489" s="16">
        <v>2811600490</v>
      </c>
      <c r="R489" t="s">
        <v>453</v>
      </c>
      <c r="S489" s="343">
        <v>139.94</v>
      </c>
    </row>
    <row r="490" spans="2:20">
      <c r="B490" s="215">
        <v>2813300281</v>
      </c>
      <c r="E490" s="216">
        <f t="shared" ref="E490:E553" si="122">VLOOKUP(B490,$Q$14:$S$1164,3,FALSE)</f>
        <v>36.94</v>
      </c>
      <c r="F490" s="216">
        <v>27.71</v>
      </c>
      <c r="G490" s="222" t="s">
        <v>1468</v>
      </c>
      <c r="J490" s="49">
        <f t="shared" ref="J490:J553" si="123">B490*$K$13</f>
        <v>2813300281</v>
      </c>
      <c r="K490" s="217">
        <f t="shared" ref="K490:K553" si="124">VLOOKUP(J490,$Q$14:$S$1164,3,FALSE)</f>
        <v>36.94</v>
      </c>
      <c r="L490" s="282">
        <v>11.15</v>
      </c>
      <c r="M490" s="282">
        <f t="shared" si="121"/>
        <v>27.71</v>
      </c>
      <c r="N490" s="282">
        <f t="shared" ref="N490:N553" si="125">K490*$N$13</f>
        <v>27.704999999999998</v>
      </c>
      <c r="O490" s="261"/>
      <c r="P490" s="261"/>
      <c r="Q490" s="16">
        <v>2811600590</v>
      </c>
      <c r="R490" t="s">
        <v>454</v>
      </c>
      <c r="S490" s="343">
        <v>159.04</v>
      </c>
    </row>
    <row r="491" spans="2:20">
      <c r="B491" s="215">
        <v>2813300380</v>
      </c>
      <c r="E491" s="216">
        <f t="shared" si="122"/>
        <v>14.4</v>
      </c>
      <c r="F491" s="216">
        <v>10.8</v>
      </c>
      <c r="G491" s="222" t="s">
        <v>1469</v>
      </c>
      <c r="J491" s="49">
        <f t="shared" si="123"/>
        <v>2813300380</v>
      </c>
      <c r="K491" s="217">
        <f t="shared" si="124"/>
        <v>14.4</v>
      </c>
      <c r="L491" s="282">
        <v>8.49</v>
      </c>
      <c r="M491" s="282">
        <f t="shared" si="121"/>
        <v>10.8</v>
      </c>
      <c r="N491" s="282">
        <f t="shared" si="125"/>
        <v>10.8</v>
      </c>
      <c r="O491" s="261"/>
      <c r="P491" s="261"/>
      <c r="Q491" s="16">
        <v>2811600690</v>
      </c>
      <c r="R491" t="s">
        <v>455</v>
      </c>
      <c r="S491" s="343">
        <v>78.88</v>
      </c>
    </row>
    <row r="492" spans="2:20">
      <c r="B492" s="215">
        <v>2813300480</v>
      </c>
      <c r="E492" s="216">
        <f t="shared" si="122"/>
        <v>10.97</v>
      </c>
      <c r="F492" s="216">
        <v>8.23</v>
      </c>
      <c r="G492" s="222" t="s">
        <v>1470</v>
      </c>
      <c r="J492" s="49">
        <f t="shared" si="123"/>
        <v>2813300480</v>
      </c>
      <c r="K492" s="217">
        <f t="shared" si="124"/>
        <v>10.97</v>
      </c>
      <c r="L492" s="282">
        <v>15.18</v>
      </c>
      <c r="M492" s="282">
        <f t="shared" si="121"/>
        <v>8.23</v>
      </c>
      <c r="N492" s="282">
        <f t="shared" si="125"/>
        <v>8.2275000000000009</v>
      </c>
      <c r="O492" s="261"/>
      <c r="P492" s="261"/>
      <c r="Q492" s="16">
        <v>2811601180</v>
      </c>
      <c r="R492" t="s">
        <v>762</v>
      </c>
      <c r="S492" s="343">
        <v>138.12</v>
      </c>
    </row>
    <row r="493" spans="2:20">
      <c r="B493" s="215">
        <v>2813300580</v>
      </c>
      <c r="E493" s="216">
        <f t="shared" si="122"/>
        <v>19.59</v>
      </c>
      <c r="F493" s="216">
        <v>14.69</v>
      </c>
      <c r="G493" s="222" t="s">
        <v>1471</v>
      </c>
      <c r="J493" s="49">
        <f t="shared" si="123"/>
        <v>2813300580</v>
      </c>
      <c r="K493" s="217">
        <f t="shared" si="124"/>
        <v>19.59</v>
      </c>
      <c r="L493" s="282">
        <v>18.71</v>
      </c>
      <c r="M493" s="282">
        <f t="shared" si="121"/>
        <v>14.69</v>
      </c>
      <c r="N493" s="282">
        <f t="shared" si="125"/>
        <v>14.692499999999999</v>
      </c>
      <c r="O493" s="261"/>
      <c r="P493" s="261"/>
      <c r="Q493" s="16">
        <v>2811601280</v>
      </c>
      <c r="R493" s="347" t="s">
        <v>763</v>
      </c>
      <c r="S493" s="343">
        <v>89.910000000000011</v>
      </c>
    </row>
    <row r="494" spans="2:20">
      <c r="B494" s="215">
        <v>2813300680</v>
      </c>
      <c r="E494" s="216">
        <f t="shared" si="122"/>
        <v>24.16</v>
      </c>
      <c r="F494" s="216">
        <v>18.12</v>
      </c>
      <c r="G494" s="222" t="s">
        <v>1472</v>
      </c>
      <c r="J494" s="49">
        <f t="shared" si="123"/>
        <v>2813300680</v>
      </c>
      <c r="K494" s="217">
        <f t="shared" si="124"/>
        <v>24.16</v>
      </c>
      <c r="L494" s="282">
        <v>15.38</v>
      </c>
      <c r="M494" s="282">
        <f t="shared" si="121"/>
        <v>18.12</v>
      </c>
      <c r="N494" s="282">
        <f t="shared" si="125"/>
        <v>18.12</v>
      </c>
      <c r="O494" s="261"/>
      <c r="P494" s="261"/>
      <c r="Q494" s="16">
        <v>2811602220</v>
      </c>
      <c r="R494" t="s">
        <v>888</v>
      </c>
      <c r="S494" s="343">
        <v>145.03</v>
      </c>
    </row>
    <row r="495" spans="2:20">
      <c r="B495" s="215">
        <v>2813301300</v>
      </c>
      <c r="E495" s="216">
        <f t="shared" si="122"/>
        <v>19.84</v>
      </c>
      <c r="F495" s="216">
        <v>14.88</v>
      </c>
      <c r="G495" s="222" t="s">
        <v>1473</v>
      </c>
      <c r="J495" s="49">
        <f t="shared" si="123"/>
        <v>2813301300</v>
      </c>
      <c r="K495" s="217">
        <f t="shared" si="124"/>
        <v>19.84</v>
      </c>
      <c r="L495" s="282">
        <v>12.98</v>
      </c>
      <c r="M495" s="282">
        <f t="shared" si="121"/>
        <v>14.88</v>
      </c>
      <c r="N495" s="282">
        <f t="shared" si="125"/>
        <v>14.879999999999999</v>
      </c>
      <c r="O495" s="261"/>
      <c r="P495" s="261"/>
      <c r="Q495" s="16">
        <v>2811602800</v>
      </c>
      <c r="R495" t="s">
        <v>629</v>
      </c>
      <c r="S495" s="343">
        <v>36.6</v>
      </c>
      <c r="T495">
        <v>40.26</v>
      </c>
    </row>
    <row r="496" spans="2:20">
      <c r="B496" s="215">
        <v>2813301780</v>
      </c>
      <c r="E496" s="216">
        <f t="shared" si="122"/>
        <v>16.760000000000002</v>
      </c>
      <c r="F496" s="216">
        <v>12.57</v>
      </c>
      <c r="G496" s="222" t="s">
        <v>1474</v>
      </c>
      <c r="J496" s="49">
        <f t="shared" si="123"/>
        <v>2813301780</v>
      </c>
      <c r="K496" s="217">
        <f t="shared" si="124"/>
        <v>16.760000000000002</v>
      </c>
      <c r="L496" s="282">
        <v>18.62</v>
      </c>
      <c r="M496" s="282">
        <f t="shared" si="121"/>
        <v>12.57</v>
      </c>
      <c r="N496" s="282">
        <f t="shared" si="125"/>
        <v>12.57</v>
      </c>
      <c r="O496" s="261"/>
      <c r="P496" s="261"/>
      <c r="Q496" s="16">
        <v>2811602890</v>
      </c>
      <c r="R496" t="s">
        <v>1484</v>
      </c>
      <c r="S496" s="343">
        <v>44</v>
      </c>
      <c r="T496">
        <v>48.4</v>
      </c>
    </row>
    <row r="497" spans="1:20">
      <c r="B497" s="215">
        <v>2813301980</v>
      </c>
      <c r="E497" s="216">
        <f t="shared" si="122"/>
        <v>24.040000000000003</v>
      </c>
      <c r="F497" s="216">
        <v>18.03</v>
      </c>
      <c r="G497" s="222" t="s">
        <v>1475</v>
      </c>
      <c r="J497" s="49">
        <f t="shared" si="123"/>
        <v>2813301980</v>
      </c>
      <c r="K497" s="217">
        <f t="shared" si="124"/>
        <v>24.040000000000003</v>
      </c>
      <c r="L497" s="282">
        <v>12.38</v>
      </c>
      <c r="M497" s="282">
        <f t="shared" si="121"/>
        <v>18.03</v>
      </c>
      <c r="N497" s="282">
        <f t="shared" si="125"/>
        <v>18.03</v>
      </c>
      <c r="O497" s="261"/>
      <c r="P497" s="261"/>
      <c r="Q497" s="16">
        <v>2811605190</v>
      </c>
      <c r="R497" t="s">
        <v>456</v>
      </c>
      <c r="S497" s="343">
        <v>559.44000000000005</v>
      </c>
    </row>
    <row r="498" spans="1:20">
      <c r="B498" s="215">
        <v>2813302200</v>
      </c>
      <c r="E498" s="216">
        <f t="shared" si="122"/>
        <v>15.99</v>
      </c>
      <c r="F498" s="216">
        <v>11.99</v>
      </c>
      <c r="G498" s="222" t="s">
        <v>1476</v>
      </c>
      <c r="J498" s="49">
        <f t="shared" si="123"/>
        <v>2813302200</v>
      </c>
      <c r="K498" s="217">
        <f t="shared" si="124"/>
        <v>15.99</v>
      </c>
      <c r="L498" s="282">
        <v>11.57</v>
      </c>
      <c r="M498" s="282">
        <f t="shared" si="121"/>
        <v>11.99</v>
      </c>
      <c r="N498" s="282">
        <f t="shared" si="125"/>
        <v>11.9925</v>
      </c>
      <c r="O498" s="261"/>
      <c r="P498" s="261"/>
      <c r="Q498" s="16">
        <v>2811605480</v>
      </c>
      <c r="R498" t="s">
        <v>889</v>
      </c>
      <c r="S498" s="343">
        <v>172.26</v>
      </c>
    </row>
    <row r="499" spans="1:20">
      <c r="B499" s="215">
        <v>2813302800</v>
      </c>
      <c r="E499" s="216">
        <f t="shared" si="122"/>
        <v>14.94</v>
      </c>
      <c r="F499" s="216">
        <v>11.21</v>
      </c>
      <c r="G499" s="222" t="s">
        <v>1477</v>
      </c>
      <c r="J499" s="49">
        <f t="shared" si="123"/>
        <v>2813302800</v>
      </c>
      <c r="K499" s="217">
        <f t="shared" si="124"/>
        <v>14.94</v>
      </c>
      <c r="L499" s="282">
        <v>80.510000000000005</v>
      </c>
      <c r="M499" s="282">
        <f t="shared" si="121"/>
        <v>11.21</v>
      </c>
      <c r="N499" s="282">
        <f t="shared" si="125"/>
        <v>11.205</v>
      </c>
      <c r="O499" s="261"/>
      <c r="P499" s="261"/>
      <c r="Q499" s="16">
        <v>2811606006</v>
      </c>
      <c r="R499" t="s">
        <v>890</v>
      </c>
      <c r="S499" s="343">
        <v>46.75</v>
      </c>
    </row>
    <row r="500" spans="1:20">
      <c r="B500" s="215">
        <v>2813305180</v>
      </c>
      <c r="E500" s="216">
        <f t="shared" si="122"/>
        <v>103.9</v>
      </c>
      <c r="F500" s="216">
        <v>77.930000000000007</v>
      </c>
      <c r="G500" s="222" t="s">
        <v>1478</v>
      </c>
      <c r="J500" s="49">
        <f t="shared" si="123"/>
        <v>2813305180</v>
      </c>
      <c r="K500" s="217">
        <f t="shared" si="124"/>
        <v>103.9</v>
      </c>
      <c r="L500" s="282">
        <v>343.43</v>
      </c>
      <c r="M500" s="282">
        <f t="shared" si="121"/>
        <v>77.930000000000007</v>
      </c>
      <c r="N500" s="282">
        <f t="shared" si="125"/>
        <v>77.925000000000011</v>
      </c>
      <c r="O500" s="261"/>
      <c r="P500" s="261"/>
      <c r="Q500" s="16">
        <v>2811606100</v>
      </c>
      <c r="R500" t="s">
        <v>1489</v>
      </c>
      <c r="S500" s="343">
        <v>288.62</v>
      </c>
    </row>
    <row r="501" spans="1:20">
      <c r="B501" s="215">
        <v>2813310000</v>
      </c>
      <c r="E501" s="216">
        <f t="shared" si="122"/>
        <v>443.09999999999997</v>
      </c>
      <c r="F501" s="216">
        <v>332.33</v>
      </c>
      <c r="G501" s="222" t="s">
        <v>1479</v>
      </c>
      <c r="J501" s="49">
        <f t="shared" si="123"/>
        <v>2813310000</v>
      </c>
      <c r="K501" s="217">
        <f t="shared" si="124"/>
        <v>443.09999999999997</v>
      </c>
      <c r="L501" s="282">
        <v>36.56</v>
      </c>
      <c r="M501" s="282">
        <f t="shared" si="121"/>
        <v>332.33</v>
      </c>
      <c r="N501" s="282">
        <f t="shared" si="125"/>
        <v>332.32499999999999</v>
      </c>
      <c r="O501" s="261"/>
      <c r="P501" s="261"/>
      <c r="Q501" s="16">
        <v>2811606200</v>
      </c>
      <c r="R501" t="s">
        <v>1491</v>
      </c>
      <c r="S501" s="343">
        <v>288.62</v>
      </c>
    </row>
    <row r="502" spans="1:20">
      <c r="B502" s="215">
        <v>2813310381</v>
      </c>
      <c r="E502" s="216">
        <f t="shared" si="122"/>
        <v>47.18</v>
      </c>
      <c r="F502" s="216">
        <v>35.39</v>
      </c>
      <c r="G502" s="222" t="s">
        <v>1480</v>
      </c>
      <c r="J502" s="49">
        <f t="shared" si="123"/>
        <v>2813310381</v>
      </c>
      <c r="K502" s="217">
        <f t="shared" si="124"/>
        <v>47.18</v>
      </c>
      <c r="L502" s="282">
        <v>17.61</v>
      </c>
      <c r="M502" s="282">
        <f t="shared" si="121"/>
        <v>35.39</v>
      </c>
      <c r="N502" s="282">
        <f t="shared" si="125"/>
        <v>35.384999999999998</v>
      </c>
      <c r="O502" s="261"/>
      <c r="P502" s="261"/>
      <c r="Q502" s="16">
        <v>2811606300</v>
      </c>
      <c r="R502" t="s">
        <v>891</v>
      </c>
      <c r="S502" s="343">
        <v>110.66</v>
      </c>
    </row>
    <row r="503" spans="1:20">
      <c r="B503" s="215">
        <v>2813310780</v>
      </c>
      <c r="E503" s="216">
        <f t="shared" si="122"/>
        <v>22.73</v>
      </c>
      <c r="F503" s="216">
        <v>17.05</v>
      </c>
      <c r="G503" s="222" t="s">
        <v>1481</v>
      </c>
      <c r="J503" s="49">
        <f t="shared" si="123"/>
        <v>2813310780</v>
      </c>
      <c r="K503" s="217">
        <f t="shared" si="124"/>
        <v>22.73</v>
      </c>
      <c r="L503" s="282">
        <v>16.059999999999999</v>
      </c>
      <c r="M503" s="282">
        <f t="shared" si="121"/>
        <v>17.05</v>
      </c>
      <c r="N503" s="282">
        <f t="shared" si="125"/>
        <v>17.047499999999999</v>
      </c>
      <c r="O503" s="261"/>
      <c r="P503" s="261"/>
      <c r="Q503" s="16">
        <v>2811606510</v>
      </c>
      <c r="R503" t="s">
        <v>892</v>
      </c>
      <c r="S503" s="343">
        <v>17.330000000000002</v>
      </c>
    </row>
    <row r="504" spans="1:20">
      <c r="B504" s="215">
        <v>2813311300</v>
      </c>
      <c r="E504" s="216">
        <f t="shared" si="122"/>
        <v>20.740000000000002</v>
      </c>
      <c r="F504" s="216">
        <v>15.56</v>
      </c>
      <c r="G504" s="222" t="s">
        <v>1482</v>
      </c>
      <c r="J504" s="49">
        <f t="shared" si="123"/>
        <v>2813311300</v>
      </c>
      <c r="K504" s="217">
        <f t="shared" si="124"/>
        <v>20.740000000000002</v>
      </c>
      <c r="L504" s="282">
        <v>13.67</v>
      </c>
      <c r="M504" s="282">
        <f t="shared" si="121"/>
        <v>15.56</v>
      </c>
      <c r="N504" s="282">
        <f t="shared" si="125"/>
        <v>15.555000000000001</v>
      </c>
      <c r="O504" s="261"/>
      <c r="P504" s="261"/>
      <c r="Q504" s="16">
        <v>2811606603</v>
      </c>
      <c r="R504" t="s">
        <v>891</v>
      </c>
      <c r="S504" s="343">
        <v>825.47</v>
      </c>
    </row>
    <row r="505" spans="1:20">
      <c r="B505" s="215">
        <v>2813311780</v>
      </c>
      <c r="E505" s="216">
        <f t="shared" si="122"/>
        <v>17.64</v>
      </c>
      <c r="F505" s="216">
        <v>13.23</v>
      </c>
      <c r="G505" s="222" t="s">
        <v>1483</v>
      </c>
      <c r="J505" s="49">
        <f t="shared" si="123"/>
        <v>2813311780</v>
      </c>
      <c r="K505" s="217">
        <f t="shared" si="124"/>
        <v>17.64</v>
      </c>
      <c r="L505" s="282">
        <v>18.53</v>
      </c>
      <c r="M505" s="282">
        <f t="shared" si="121"/>
        <v>13.23</v>
      </c>
      <c r="N505" s="282">
        <f t="shared" si="125"/>
        <v>13.23</v>
      </c>
      <c r="O505" s="261"/>
      <c r="P505" s="261"/>
      <c r="Q505" s="16">
        <v>2811611080</v>
      </c>
      <c r="R505" s="347" t="s">
        <v>893</v>
      </c>
      <c r="S505" s="343">
        <v>85.81</v>
      </c>
    </row>
    <row r="506" spans="1:20">
      <c r="B506" s="215">
        <v>2813311980</v>
      </c>
      <c r="E506" s="216">
        <f t="shared" si="122"/>
        <v>23.92</v>
      </c>
      <c r="F506" s="216">
        <v>17.940000000000001</v>
      </c>
      <c r="G506" s="222" t="s">
        <v>1485</v>
      </c>
      <c r="J506" s="49">
        <f t="shared" si="123"/>
        <v>2813311980</v>
      </c>
      <c r="K506" s="217">
        <f t="shared" si="124"/>
        <v>23.92</v>
      </c>
      <c r="L506" s="282">
        <v>5.87</v>
      </c>
      <c r="M506" s="282">
        <f t="shared" si="121"/>
        <v>17.940000000000001</v>
      </c>
      <c r="N506" s="282">
        <f t="shared" si="125"/>
        <v>17.940000000000001</v>
      </c>
      <c r="O506" s="261"/>
      <c r="P506" s="261"/>
      <c r="Q506" s="16">
        <v>2811611280</v>
      </c>
      <c r="R506" s="347" t="s">
        <v>821</v>
      </c>
      <c r="S506" s="343">
        <v>91.4</v>
      </c>
    </row>
    <row r="507" spans="1:20">
      <c r="B507" s="215">
        <v>2813316280</v>
      </c>
      <c r="E507" s="216">
        <f t="shared" si="122"/>
        <v>7.58</v>
      </c>
      <c r="F507" s="216">
        <v>5.69</v>
      </c>
      <c r="G507" s="222" t="s">
        <v>1486</v>
      </c>
      <c r="J507" s="49">
        <f t="shared" si="123"/>
        <v>2813316280</v>
      </c>
      <c r="K507" s="217">
        <f t="shared" si="124"/>
        <v>7.58</v>
      </c>
      <c r="L507" s="282">
        <v>82.75</v>
      </c>
      <c r="M507" s="282">
        <f t="shared" si="121"/>
        <v>5.69</v>
      </c>
      <c r="N507" s="282">
        <f t="shared" si="125"/>
        <v>5.6850000000000005</v>
      </c>
      <c r="O507" s="261"/>
      <c r="P507" s="261"/>
      <c r="Q507" s="16">
        <v>2811612220</v>
      </c>
      <c r="R507" t="s">
        <v>894</v>
      </c>
      <c r="S507" s="343">
        <v>159.38999999999999</v>
      </c>
    </row>
    <row r="508" spans="1:20">
      <c r="B508" s="215">
        <v>2813320000</v>
      </c>
      <c r="E508" s="216">
        <f t="shared" si="122"/>
        <v>106.76</v>
      </c>
      <c r="F508" s="216">
        <v>80.069999999999993</v>
      </c>
      <c r="G508" s="222" t="s">
        <v>1487</v>
      </c>
      <c r="J508" s="49">
        <f t="shared" si="123"/>
        <v>2813320000</v>
      </c>
      <c r="K508" s="217">
        <f t="shared" si="124"/>
        <v>106.76</v>
      </c>
      <c r="L508" s="282">
        <v>31.52</v>
      </c>
      <c r="M508" s="282">
        <f t="shared" si="121"/>
        <v>80.069999999999993</v>
      </c>
      <c r="N508" s="282">
        <f t="shared" si="125"/>
        <v>80.070000000000007</v>
      </c>
      <c r="O508" s="261"/>
      <c r="P508" s="261"/>
      <c r="Q508" s="16">
        <v>2811612880</v>
      </c>
      <c r="R508" t="s">
        <v>895</v>
      </c>
      <c r="S508" s="343">
        <v>111.82000000000001</v>
      </c>
      <c r="T508">
        <v>123</v>
      </c>
    </row>
    <row r="509" spans="1:20">
      <c r="B509" s="215">
        <v>2813320780</v>
      </c>
      <c r="E509" s="216">
        <f t="shared" si="122"/>
        <v>40.669999999999995</v>
      </c>
      <c r="F509" s="216">
        <v>30.5</v>
      </c>
      <c r="G509" s="222" t="s">
        <v>1488</v>
      </c>
      <c r="J509" s="49">
        <f t="shared" si="123"/>
        <v>2813320780</v>
      </c>
      <c r="K509" s="217">
        <f t="shared" si="124"/>
        <v>40.669999999999995</v>
      </c>
      <c r="L509" s="282">
        <v>6.66</v>
      </c>
      <c r="M509" s="282">
        <f t="shared" si="121"/>
        <v>30.5</v>
      </c>
      <c r="N509" s="282">
        <f t="shared" si="125"/>
        <v>30.502499999999998</v>
      </c>
      <c r="O509" s="261"/>
      <c r="P509" s="261"/>
      <c r="Q509" s="16">
        <v>2811615490</v>
      </c>
      <c r="R509" t="s">
        <v>457</v>
      </c>
      <c r="S509" s="343">
        <v>139.06</v>
      </c>
    </row>
    <row r="510" spans="1:20">
      <c r="B510" s="215">
        <v>2813326280</v>
      </c>
      <c r="E510" s="216">
        <f t="shared" si="122"/>
        <v>8.6</v>
      </c>
      <c r="F510" s="216">
        <v>6.45</v>
      </c>
      <c r="G510" s="222" t="s">
        <v>1490</v>
      </c>
      <c r="J510" s="49">
        <f t="shared" si="123"/>
        <v>2813326280</v>
      </c>
      <c r="K510" s="217">
        <f t="shared" si="124"/>
        <v>8.6</v>
      </c>
      <c r="L510" s="282">
        <v>306.64999999999998</v>
      </c>
      <c r="M510" s="282">
        <f t="shared" si="121"/>
        <v>6.45</v>
      </c>
      <c r="N510" s="282">
        <f t="shared" si="125"/>
        <v>6.4499999999999993</v>
      </c>
      <c r="O510" s="261"/>
      <c r="P510" s="261"/>
      <c r="Q510" s="16">
        <v>2811621080</v>
      </c>
      <c r="R510" t="s">
        <v>896</v>
      </c>
      <c r="S510" s="343">
        <v>85.820000000000007</v>
      </c>
    </row>
    <row r="511" spans="1:20">
      <c r="A511" s="173"/>
      <c r="B511" s="215">
        <v>2813330000</v>
      </c>
      <c r="E511" s="216">
        <f t="shared" si="122"/>
        <v>395.65</v>
      </c>
      <c r="F511" s="216">
        <v>296.74</v>
      </c>
      <c r="G511" s="222" t="s">
        <v>1492</v>
      </c>
      <c r="J511" s="49">
        <f t="shared" si="123"/>
        <v>2813330000</v>
      </c>
      <c r="K511" s="217">
        <f t="shared" si="124"/>
        <v>395.65</v>
      </c>
      <c r="L511" s="282">
        <v>55.78</v>
      </c>
      <c r="M511" s="282">
        <f t="shared" si="121"/>
        <v>296.74</v>
      </c>
      <c r="N511" s="282">
        <f t="shared" si="125"/>
        <v>296.73749999999995</v>
      </c>
      <c r="O511" s="261"/>
      <c r="P511" s="261"/>
      <c r="Q511" s="16">
        <v>2811640790</v>
      </c>
      <c r="R511" t="s">
        <v>458</v>
      </c>
      <c r="S511" s="343">
        <v>184.14999999999998</v>
      </c>
    </row>
    <row r="512" spans="1:20">
      <c r="B512" s="215">
        <v>2813332200</v>
      </c>
      <c r="E512" s="216">
        <f t="shared" si="122"/>
        <v>71.98</v>
      </c>
      <c r="F512" s="216">
        <v>53.99</v>
      </c>
      <c r="G512" s="222" t="s">
        <v>1493</v>
      </c>
      <c r="J512" s="49">
        <f t="shared" si="123"/>
        <v>2813332200</v>
      </c>
      <c r="K512" s="217">
        <f t="shared" si="124"/>
        <v>71.98</v>
      </c>
      <c r="L512" s="282">
        <v>3.71</v>
      </c>
      <c r="M512" s="282">
        <f t="shared" si="121"/>
        <v>53.99</v>
      </c>
      <c r="N512" s="282">
        <f t="shared" si="125"/>
        <v>53.984999999999999</v>
      </c>
      <c r="O512" s="261"/>
      <c r="P512" s="261"/>
      <c r="Q512" s="345">
        <v>2811646280</v>
      </c>
      <c r="R512" t="s">
        <v>1830</v>
      </c>
      <c r="S512" s="343">
        <v>142.41999999999999</v>
      </c>
    </row>
    <row r="513" spans="2:20">
      <c r="B513" s="215">
        <v>2813332800</v>
      </c>
      <c r="E513" s="216">
        <f t="shared" si="122"/>
        <v>4.8</v>
      </c>
      <c r="F513" s="216">
        <v>3.6</v>
      </c>
      <c r="G513" s="222" t="s">
        <v>1494</v>
      </c>
      <c r="J513" s="49">
        <f t="shared" si="123"/>
        <v>2813332800</v>
      </c>
      <c r="K513" s="217">
        <f t="shared" si="124"/>
        <v>4.8</v>
      </c>
      <c r="L513" s="282">
        <v>57.24</v>
      </c>
      <c r="M513" s="282">
        <f t="shared" si="121"/>
        <v>3.6</v>
      </c>
      <c r="N513" s="282">
        <f t="shared" si="125"/>
        <v>3.5999999999999996</v>
      </c>
      <c r="O513" s="261"/>
      <c r="P513" s="261"/>
      <c r="Q513" s="16">
        <v>2811646281</v>
      </c>
      <c r="R513" t="s">
        <v>897</v>
      </c>
      <c r="S513" s="343">
        <v>271.73</v>
      </c>
    </row>
    <row r="514" spans="2:20">
      <c r="B514" s="215">
        <v>2813340000</v>
      </c>
      <c r="E514" s="216">
        <f t="shared" si="122"/>
        <v>73.86</v>
      </c>
      <c r="F514" s="216">
        <v>55.4</v>
      </c>
      <c r="G514" s="222" t="s">
        <v>1495</v>
      </c>
      <c r="J514" s="49">
        <f t="shared" si="123"/>
        <v>2813340000</v>
      </c>
      <c r="K514" s="217">
        <f t="shared" si="124"/>
        <v>73.86</v>
      </c>
      <c r="L514" s="282">
        <v>139.72999999999999</v>
      </c>
      <c r="M514" s="282">
        <f t="shared" si="121"/>
        <v>55.4</v>
      </c>
      <c r="N514" s="282">
        <f t="shared" si="125"/>
        <v>55.394999999999996</v>
      </c>
      <c r="O514" s="261"/>
      <c r="P514" s="265"/>
      <c r="Q514" s="16">
        <v>2811650790</v>
      </c>
      <c r="R514" t="s">
        <v>459</v>
      </c>
      <c r="S514" s="343">
        <v>178.74</v>
      </c>
    </row>
    <row r="515" spans="2:20">
      <c r="B515" s="215">
        <v>2813400000</v>
      </c>
      <c r="E515" s="216">
        <f t="shared" si="122"/>
        <v>180.28</v>
      </c>
      <c r="F515" s="216">
        <v>135.21</v>
      </c>
      <c r="G515" s="222" t="s">
        <v>1496</v>
      </c>
      <c r="J515" s="49">
        <f t="shared" si="123"/>
        <v>2813400000</v>
      </c>
      <c r="K515" s="217">
        <f t="shared" si="124"/>
        <v>180.28</v>
      </c>
      <c r="L515" s="282">
        <v>16.649999999999999</v>
      </c>
      <c r="M515" s="282">
        <f t="shared" si="121"/>
        <v>135.21</v>
      </c>
      <c r="N515" s="282">
        <f t="shared" si="125"/>
        <v>135.21</v>
      </c>
      <c r="O515" s="261"/>
      <c r="P515" s="261"/>
      <c r="Q515" s="16">
        <v>2811650990</v>
      </c>
      <c r="R515" t="s">
        <v>460</v>
      </c>
      <c r="S515" s="343">
        <v>178.78</v>
      </c>
    </row>
    <row r="516" spans="2:20">
      <c r="B516" s="215">
        <v>2813400280</v>
      </c>
      <c r="E516" s="216">
        <f t="shared" si="122"/>
        <v>21.470000000000002</v>
      </c>
      <c r="F516" s="216">
        <v>16.100000000000001</v>
      </c>
      <c r="G516" s="222" t="s">
        <v>1497</v>
      </c>
      <c r="J516" s="49">
        <f t="shared" si="123"/>
        <v>2813400280</v>
      </c>
      <c r="K516" s="217">
        <f t="shared" si="124"/>
        <v>21.470000000000002</v>
      </c>
      <c r="L516" s="282">
        <v>31.75</v>
      </c>
      <c r="M516" s="282">
        <f t="shared" si="121"/>
        <v>16.100000000000001</v>
      </c>
      <c r="N516" s="282">
        <f t="shared" si="125"/>
        <v>16.102500000000003</v>
      </c>
      <c r="O516" s="261"/>
      <c r="P516" s="261"/>
      <c r="Q516" s="16">
        <v>2811651890</v>
      </c>
      <c r="R516" t="s">
        <v>461</v>
      </c>
      <c r="S516" s="343">
        <v>179.39</v>
      </c>
    </row>
    <row r="517" spans="2:20">
      <c r="B517" s="215">
        <v>2813400281</v>
      </c>
      <c r="E517" s="216">
        <f t="shared" si="122"/>
        <v>40.96</v>
      </c>
      <c r="F517" s="216">
        <v>30.72</v>
      </c>
      <c r="G517" s="222" t="s">
        <v>1498</v>
      </c>
      <c r="J517" s="49">
        <f t="shared" si="123"/>
        <v>2813400281</v>
      </c>
      <c r="K517" s="217">
        <f t="shared" si="124"/>
        <v>40.96</v>
      </c>
      <c r="L517" s="282">
        <v>21.34</v>
      </c>
      <c r="M517" s="282">
        <f t="shared" si="121"/>
        <v>30.72</v>
      </c>
      <c r="N517" s="282">
        <f t="shared" si="125"/>
        <v>30.72</v>
      </c>
      <c r="O517" s="261"/>
      <c r="P517" s="261"/>
      <c r="Q517" s="16">
        <v>2811652090</v>
      </c>
      <c r="R517" t="s">
        <v>462</v>
      </c>
      <c r="S517" s="343">
        <v>206.73</v>
      </c>
    </row>
    <row r="518" spans="2:20">
      <c r="B518" s="215">
        <v>2813400380</v>
      </c>
      <c r="E518" s="216">
        <f t="shared" si="122"/>
        <v>27.55</v>
      </c>
      <c r="F518" s="216">
        <v>20.66</v>
      </c>
      <c r="G518" s="222" t="s">
        <v>1499</v>
      </c>
      <c r="J518" s="49">
        <f t="shared" si="123"/>
        <v>2813400380</v>
      </c>
      <c r="K518" s="217">
        <f t="shared" si="124"/>
        <v>27.55</v>
      </c>
      <c r="L518" s="282">
        <v>23.95</v>
      </c>
      <c r="M518" s="282">
        <f t="shared" si="121"/>
        <v>20.66</v>
      </c>
      <c r="N518" s="282">
        <f t="shared" si="125"/>
        <v>20.662500000000001</v>
      </c>
      <c r="O518" s="261"/>
      <c r="P518" s="261"/>
      <c r="Q518" s="16">
        <v>2811652190</v>
      </c>
      <c r="R518" s="347" t="s">
        <v>463</v>
      </c>
      <c r="S518" s="343">
        <v>178.78</v>
      </c>
    </row>
    <row r="519" spans="2:20">
      <c r="B519" s="215">
        <v>2813400480</v>
      </c>
      <c r="E519" s="216">
        <f t="shared" si="122"/>
        <v>30.900000000000002</v>
      </c>
      <c r="F519" s="216">
        <v>23.18</v>
      </c>
      <c r="G519" s="222" t="s">
        <v>1500</v>
      </c>
      <c r="J519" s="49">
        <f t="shared" si="123"/>
        <v>2813400480</v>
      </c>
      <c r="K519" s="217">
        <f t="shared" si="124"/>
        <v>30.900000000000002</v>
      </c>
      <c r="L519" s="282">
        <v>20.18</v>
      </c>
      <c r="M519" s="282">
        <f t="shared" si="121"/>
        <v>23.18</v>
      </c>
      <c r="N519" s="282">
        <f t="shared" si="125"/>
        <v>23.175000000000001</v>
      </c>
      <c r="O519" s="261"/>
      <c r="P519" s="261"/>
      <c r="Q519" s="16">
        <v>2811661490</v>
      </c>
      <c r="R519" s="347" t="s">
        <v>464</v>
      </c>
      <c r="S519" s="343">
        <v>139.05000000000001</v>
      </c>
    </row>
    <row r="520" spans="2:20">
      <c r="B520" s="215">
        <v>2813400580</v>
      </c>
      <c r="E520" s="216">
        <f t="shared" si="122"/>
        <v>26.040000000000003</v>
      </c>
      <c r="F520" s="216">
        <v>19.53</v>
      </c>
      <c r="G520" s="222" t="s">
        <v>1501</v>
      </c>
      <c r="J520" s="49">
        <f t="shared" si="123"/>
        <v>2813400580</v>
      </c>
      <c r="K520" s="217">
        <f t="shared" si="124"/>
        <v>26.040000000000003</v>
      </c>
      <c r="L520" s="282">
        <v>27.48</v>
      </c>
      <c r="M520" s="282">
        <f t="shared" si="121"/>
        <v>19.53</v>
      </c>
      <c r="N520" s="282">
        <f t="shared" si="125"/>
        <v>19.53</v>
      </c>
      <c r="O520" s="261"/>
      <c r="P520" s="261"/>
      <c r="Q520" s="16">
        <v>2811661890</v>
      </c>
      <c r="R520" t="s">
        <v>465</v>
      </c>
      <c r="S520" s="343">
        <v>157.77000000000001</v>
      </c>
    </row>
    <row r="521" spans="2:20">
      <c r="B521" s="215">
        <v>2813400680</v>
      </c>
      <c r="E521" s="216">
        <f t="shared" si="122"/>
        <v>35.47</v>
      </c>
      <c r="F521" s="216">
        <v>26.6</v>
      </c>
      <c r="G521" s="222" t="s">
        <v>1502</v>
      </c>
      <c r="J521" s="49">
        <f t="shared" si="123"/>
        <v>2813400680</v>
      </c>
      <c r="K521" s="217">
        <f t="shared" si="124"/>
        <v>35.47</v>
      </c>
      <c r="L521" s="282">
        <v>15.28</v>
      </c>
      <c r="M521" s="282">
        <f t="shared" si="121"/>
        <v>26.6</v>
      </c>
      <c r="N521" s="282">
        <f t="shared" si="125"/>
        <v>26.602499999999999</v>
      </c>
      <c r="O521" s="261"/>
      <c r="P521" s="261"/>
      <c r="Q521" s="16">
        <v>2811661980</v>
      </c>
      <c r="R521" t="s">
        <v>898</v>
      </c>
      <c r="S521" s="343">
        <v>182.41</v>
      </c>
    </row>
    <row r="522" spans="2:20">
      <c r="B522" s="215">
        <v>2813402200</v>
      </c>
      <c r="E522" s="216">
        <f t="shared" si="122"/>
        <v>19.720000000000002</v>
      </c>
      <c r="F522" s="216">
        <v>14.79</v>
      </c>
      <c r="G522" s="222" t="s">
        <v>1503</v>
      </c>
      <c r="J522" s="49">
        <f t="shared" si="123"/>
        <v>2813402200</v>
      </c>
      <c r="K522" s="217">
        <f t="shared" si="124"/>
        <v>19.720000000000002</v>
      </c>
      <c r="L522" s="282">
        <v>12.48</v>
      </c>
      <c r="M522" s="282">
        <f t="shared" si="121"/>
        <v>14.79</v>
      </c>
      <c r="N522" s="282">
        <f t="shared" si="125"/>
        <v>14.790000000000003</v>
      </c>
      <c r="O522" s="261"/>
      <c r="P522" s="261"/>
      <c r="Q522" s="16">
        <v>2811662080</v>
      </c>
      <c r="R522" t="s">
        <v>899</v>
      </c>
      <c r="S522" s="343">
        <v>179.07999999999998</v>
      </c>
    </row>
    <row r="523" spans="2:20">
      <c r="B523" s="215">
        <v>2813402800</v>
      </c>
      <c r="E523" s="216">
        <f t="shared" si="122"/>
        <v>16.100000000000001</v>
      </c>
      <c r="F523" s="216">
        <v>12.08</v>
      </c>
      <c r="G523" s="222" t="s">
        <v>1504</v>
      </c>
      <c r="J523" s="49">
        <f t="shared" si="123"/>
        <v>2813402800</v>
      </c>
      <c r="K523" s="217">
        <f t="shared" si="124"/>
        <v>16.100000000000001</v>
      </c>
      <c r="L523" s="282">
        <v>118.21</v>
      </c>
      <c r="M523" s="282">
        <f t="shared" si="121"/>
        <v>12.08</v>
      </c>
      <c r="N523" s="282">
        <f t="shared" si="125"/>
        <v>12.075000000000001</v>
      </c>
      <c r="O523" s="261"/>
      <c r="P523" s="261"/>
      <c r="Q523" s="16">
        <v>2811662800</v>
      </c>
      <c r="R523" t="s">
        <v>900</v>
      </c>
      <c r="S523" s="343">
        <v>88.38</v>
      </c>
    </row>
    <row r="524" spans="2:20">
      <c r="B524" s="215">
        <v>2813405180</v>
      </c>
      <c r="E524" s="216">
        <f t="shared" si="122"/>
        <v>152.51</v>
      </c>
      <c r="F524" s="216">
        <v>114.38</v>
      </c>
      <c r="G524" s="222" t="s">
        <v>1505</v>
      </c>
      <c r="J524" s="49">
        <f t="shared" si="123"/>
        <v>2813405180</v>
      </c>
      <c r="K524" s="217">
        <f t="shared" si="124"/>
        <v>152.51</v>
      </c>
      <c r="L524" s="282">
        <v>584.57000000000005</v>
      </c>
      <c r="M524" s="282">
        <f t="shared" si="121"/>
        <v>114.38</v>
      </c>
      <c r="N524" s="282">
        <f t="shared" si="125"/>
        <v>114.38249999999999</v>
      </c>
      <c r="O524" s="261"/>
      <c r="P524" s="261"/>
      <c r="Q524" s="16">
        <v>2811662890</v>
      </c>
      <c r="R524" t="s">
        <v>1515</v>
      </c>
      <c r="S524" s="343">
        <v>103.89</v>
      </c>
      <c r="T524">
        <v>114.28</v>
      </c>
    </row>
    <row r="525" spans="2:20">
      <c r="B525" s="215">
        <v>2813410000</v>
      </c>
      <c r="E525" s="216">
        <f t="shared" si="122"/>
        <v>754.25</v>
      </c>
      <c r="F525" s="216">
        <v>565.69000000000005</v>
      </c>
      <c r="G525" s="222" t="s">
        <v>1506</v>
      </c>
      <c r="J525" s="49">
        <f t="shared" si="123"/>
        <v>2813410000</v>
      </c>
      <c r="K525" s="217">
        <f t="shared" si="124"/>
        <v>754.25</v>
      </c>
      <c r="L525" s="282">
        <v>53.53</v>
      </c>
      <c r="M525" s="282">
        <f t="shared" si="121"/>
        <v>565.69000000000005</v>
      </c>
      <c r="N525" s="282">
        <f t="shared" si="125"/>
        <v>565.6875</v>
      </c>
      <c r="O525" s="261"/>
      <c r="P525" s="261"/>
      <c r="Q525" s="16">
        <v>2811665390</v>
      </c>
      <c r="R525" t="s">
        <v>466</v>
      </c>
      <c r="S525" s="343">
        <v>559.44000000000005</v>
      </c>
    </row>
    <row r="526" spans="2:20">
      <c r="B526" s="215">
        <v>2813420381</v>
      </c>
      <c r="E526" s="216">
        <f t="shared" si="122"/>
        <v>69.070000000000007</v>
      </c>
      <c r="F526" s="216">
        <v>51.8</v>
      </c>
      <c r="G526" s="222" t="s">
        <v>1507</v>
      </c>
      <c r="J526" s="49">
        <f t="shared" si="123"/>
        <v>2813420381</v>
      </c>
      <c r="K526" s="217">
        <f t="shared" si="124"/>
        <v>69.070000000000007</v>
      </c>
      <c r="L526" s="282">
        <v>38.85</v>
      </c>
      <c r="M526" s="282">
        <f t="shared" si="121"/>
        <v>51.8</v>
      </c>
      <c r="N526" s="282">
        <f t="shared" si="125"/>
        <v>51.802500000000009</v>
      </c>
      <c r="O526" s="261"/>
      <c r="P526" s="261"/>
      <c r="Q526" s="16">
        <v>2811700000</v>
      </c>
      <c r="R526" t="s">
        <v>901</v>
      </c>
      <c r="S526" s="343">
        <v>346.51</v>
      </c>
    </row>
    <row r="527" spans="2:20">
      <c r="B527" s="215">
        <v>2813420780</v>
      </c>
      <c r="E527" s="216">
        <f t="shared" si="122"/>
        <v>50.129999999999995</v>
      </c>
      <c r="F527" s="216">
        <v>37.6</v>
      </c>
      <c r="G527" s="222" t="s">
        <v>1508</v>
      </c>
      <c r="J527" s="49">
        <f t="shared" si="123"/>
        <v>2813420780</v>
      </c>
      <c r="K527" s="217">
        <f t="shared" si="124"/>
        <v>50.129999999999995</v>
      </c>
      <c r="L527" s="282">
        <v>23.54</v>
      </c>
      <c r="M527" s="282">
        <f t="shared" si="121"/>
        <v>37.6</v>
      </c>
      <c r="N527" s="282">
        <f t="shared" si="125"/>
        <v>37.597499999999997</v>
      </c>
      <c r="O527" s="261"/>
      <c r="P527" s="261"/>
      <c r="Q527" s="16">
        <v>2811700100</v>
      </c>
      <c r="R527" t="s">
        <v>902</v>
      </c>
      <c r="S527" s="343">
        <v>172.53</v>
      </c>
    </row>
    <row r="528" spans="2:20">
      <c r="B528" s="215">
        <v>2813421300</v>
      </c>
      <c r="E528" s="216">
        <f t="shared" si="122"/>
        <v>30.380000000000003</v>
      </c>
      <c r="F528" s="216">
        <v>22.79</v>
      </c>
      <c r="G528" s="222" t="s">
        <v>1509</v>
      </c>
      <c r="J528" s="49">
        <f t="shared" si="123"/>
        <v>2813421300</v>
      </c>
      <c r="K528" s="217">
        <f t="shared" si="124"/>
        <v>30.380000000000003</v>
      </c>
      <c r="L528" s="282">
        <v>17.11</v>
      </c>
      <c r="M528" s="282">
        <f t="shared" si="121"/>
        <v>22.79</v>
      </c>
      <c r="N528" s="282">
        <f t="shared" si="125"/>
        <v>22.785000000000004</v>
      </c>
      <c r="O528" s="261"/>
      <c r="P528" s="261"/>
      <c r="Q528" s="16">
        <v>2811700201</v>
      </c>
      <c r="R528" t="s">
        <v>903</v>
      </c>
      <c r="S528" s="343">
        <v>141.71</v>
      </c>
    </row>
    <row r="529" spans="2:20">
      <c r="B529" s="215">
        <v>2813421780</v>
      </c>
      <c r="E529" s="216">
        <f t="shared" si="122"/>
        <v>22.080000000000002</v>
      </c>
      <c r="F529" s="216">
        <v>16.559999999999999</v>
      </c>
      <c r="G529" s="222" t="s">
        <v>1510</v>
      </c>
      <c r="J529" s="49">
        <f t="shared" si="123"/>
        <v>2813421780</v>
      </c>
      <c r="K529" s="217">
        <f t="shared" si="124"/>
        <v>22.080000000000002</v>
      </c>
      <c r="L529" s="282">
        <v>25.41</v>
      </c>
      <c r="M529" s="282">
        <f t="shared" si="121"/>
        <v>16.559999999999999</v>
      </c>
      <c r="N529" s="282">
        <f t="shared" si="125"/>
        <v>16.560000000000002</v>
      </c>
      <c r="O529" s="261"/>
      <c r="P529" s="261"/>
      <c r="Q529" s="16">
        <v>2811700290</v>
      </c>
      <c r="R529" t="s">
        <v>467</v>
      </c>
      <c r="S529" s="343">
        <v>117.97</v>
      </c>
    </row>
    <row r="530" spans="2:20">
      <c r="B530" s="215">
        <v>2813421980</v>
      </c>
      <c r="E530" s="216">
        <f t="shared" si="122"/>
        <v>32.79</v>
      </c>
      <c r="F530" s="216">
        <v>24.59</v>
      </c>
      <c r="G530" s="222" t="s">
        <v>1511</v>
      </c>
      <c r="J530" s="49">
        <f t="shared" si="123"/>
        <v>2813421980</v>
      </c>
      <c r="K530" s="217">
        <f t="shared" si="124"/>
        <v>32.79</v>
      </c>
      <c r="L530" s="282">
        <v>17.02</v>
      </c>
      <c r="M530" s="282">
        <f t="shared" si="121"/>
        <v>24.59</v>
      </c>
      <c r="N530" s="282">
        <f t="shared" si="125"/>
        <v>24.592500000000001</v>
      </c>
      <c r="O530" s="261"/>
      <c r="P530" s="261"/>
      <c r="Q530" s="16">
        <v>2811700301</v>
      </c>
      <c r="R530" t="s">
        <v>904</v>
      </c>
      <c r="S530" s="343">
        <v>56.19</v>
      </c>
    </row>
    <row r="531" spans="2:20">
      <c r="B531" s="215">
        <v>2813426280</v>
      </c>
      <c r="E531" s="216">
        <f t="shared" si="122"/>
        <v>21.96</v>
      </c>
      <c r="F531" s="216">
        <v>16.47</v>
      </c>
      <c r="G531" s="222" t="s">
        <v>1512</v>
      </c>
      <c r="J531" s="49">
        <f t="shared" si="123"/>
        <v>2813426280</v>
      </c>
      <c r="K531" s="217">
        <f t="shared" si="124"/>
        <v>21.96</v>
      </c>
      <c r="L531" s="282">
        <v>34.18</v>
      </c>
      <c r="M531" s="282">
        <f t="shared" si="121"/>
        <v>16.47</v>
      </c>
      <c r="N531" s="282">
        <f t="shared" si="125"/>
        <v>16.47</v>
      </c>
      <c r="O531" s="261"/>
      <c r="P531" s="261"/>
      <c r="Q531" s="16">
        <v>2811700390</v>
      </c>
      <c r="R531" s="347" t="s">
        <v>468</v>
      </c>
      <c r="S531" s="349">
        <v>162.54</v>
      </c>
    </row>
    <row r="532" spans="2:20">
      <c r="B532" s="215">
        <v>2813430780</v>
      </c>
      <c r="E532" s="216">
        <f t="shared" si="122"/>
        <v>44.12</v>
      </c>
      <c r="F532" s="216">
        <v>33.090000000000003</v>
      </c>
      <c r="G532" s="222" t="s">
        <v>1513</v>
      </c>
      <c r="J532" s="49">
        <f t="shared" si="123"/>
        <v>2813430780</v>
      </c>
      <c r="K532" s="217">
        <f t="shared" si="124"/>
        <v>44.12</v>
      </c>
      <c r="L532" s="282">
        <v>37.520000000000003</v>
      </c>
      <c r="M532" s="282">
        <f t="shared" si="121"/>
        <v>33.090000000000003</v>
      </c>
      <c r="N532" s="282">
        <f t="shared" si="125"/>
        <v>33.089999999999996</v>
      </c>
      <c r="O532" s="261"/>
      <c r="P532" s="261"/>
      <c r="Q532" s="16">
        <v>2811700490</v>
      </c>
      <c r="R532" t="s">
        <v>469</v>
      </c>
      <c r="S532" s="349">
        <v>176.5</v>
      </c>
    </row>
    <row r="533" spans="2:20">
      <c r="B533" s="215">
        <v>2813430781</v>
      </c>
      <c r="E533" s="216">
        <f t="shared" si="122"/>
        <v>48.4</v>
      </c>
      <c r="F533" s="216">
        <v>36.299999999999997</v>
      </c>
      <c r="G533" s="222" t="s">
        <v>1514</v>
      </c>
      <c r="J533" s="49">
        <f t="shared" si="123"/>
        <v>2813430781</v>
      </c>
      <c r="K533" s="217">
        <f t="shared" si="124"/>
        <v>48.4</v>
      </c>
      <c r="L533" s="282">
        <v>17.66</v>
      </c>
      <c r="M533" s="282">
        <f t="shared" si="121"/>
        <v>36.299999999999997</v>
      </c>
      <c r="N533" s="282">
        <f t="shared" si="125"/>
        <v>36.299999999999997</v>
      </c>
      <c r="O533" s="261"/>
      <c r="P533" s="261"/>
      <c r="Q533" s="16">
        <v>2811700590</v>
      </c>
      <c r="R533" s="347" t="s">
        <v>470</v>
      </c>
      <c r="S533" s="349">
        <v>232.03</v>
      </c>
    </row>
    <row r="534" spans="2:20">
      <c r="B534" s="215">
        <v>2813436280</v>
      </c>
      <c r="E534" s="216">
        <f t="shared" si="122"/>
        <v>22.8</v>
      </c>
      <c r="F534" s="216">
        <v>17.100000000000001</v>
      </c>
      <c r="G534" s="222" t="s">
        <v>1516</v>
      </c>
      <c r="J534" s="49">
        <f t="shared" si="123"/>
        <v>2813436280</v>
      </c>
      <c r="K534" s="217">
        <f t="shared" si="124"/>
        <v>22.8</v>
      </c>
      <c r="L534" s="282">
        <v>63.3</v>
      </c>
      <c r="M534" s="282">
        <f t="shared" si="121"/>
        <v>17.100000000000001</v>
      </c>
      <c r="N534" s="282">
        <f t="shared" si="125"/>
        <v>17.100000000000001</v>
      </c>
      <c r="O534" s="261"/>
      <c r="P534" s="261"/>
      <c r="Q534" s="16">
        <v>2811700690</v>
      </c>
      <c r="R534" t="s">
        <v>471</v>
      </c>
      <c r="S534" s="349">
        <v>138.63999999999999</v>
      </c>
    </row>
    <row r="535" spans="2:20">
      <c r="B535" s="215">
        <v>2813440000</v>
      </c>
      <c r="E535" s="216">
        <f t="shared" si="122"/>
        <v>81.67</v>
      </c>
      <c r="F535" s="216">
        <v>61.25</v>
      </c>
      <c r="G535" s="222" t="s">
        <v>1517</v>
      </c>
      <c r="J535" s="49">
        <f t="shared" si="123"/>
        <v>2813440000</v>
      </c>
      <c r="K535" s="217">
        <f t="shared" si="124"/>
        <v>81.67</v>
      </c>
      <c r="L535" s="282">
        <v>55.97</v>
      </c>
      <c r="M535" s="282">
        <f t="shared" si="121"/>
        <v>61.25</v>
      </c>
      <c r="N535" s="282">
        <f t="shared" si="125"/>
        <v>61.252499999999998</v>
      </c>
      <c r="O535" s="261"/>
      <c r="P535" s="261"/>
      <c r="Q535" s="16">
        <v>2811701280</v>
      </c>
      <c r="R535" s="347" t="s">
        <v>905</v>
      </c>
      <c r="S535" s="349">
        <v>149.01999999999998</v>
      </c>
    </row>
    <row r="536" spans="2:20">
      <c r="B536" s="215">
        <v>2813442200</v>
      </c>
      <c r="E536" s="216">
        <f t="shared" si="122"/>
        <v>72.22</v>
      </c>
      <c r="F536" s="216">
        <v>54.17</v>
      </c>
      <c r="G536" s="222" t="s">
        <v>1518</v>
      </c>
      <c r="J536" s="49">
        <f t="shared" si="123"/>
        <v>2813442200</v>
      </c>
      <c r="K536" s="217">
        <f t="shared" si="124"/>
        <v>72.22</v>
      </c>
      <c r="L536" s="282">
        <v>4.22</v>
      </c>
      <c r="M536" s="282">
        <f t="shared" si="121"/>
        <v>54.17</v>
      </c>
      <c r="N536" s="282">
        <f t="shared" si="125"/>
        <v>54.164999999999999</v>
      </c>
      <c r="O536" s="261"/>
      <c r="P536" s="261"/>
      <c r="Q536" s="16">
        <v>2811702220</v>
      </c>
      <c r="R536" t="s">
        <v>906</v>
      </c>
      <c r="S536" s="343">
        <v>91.75</v>
      </c>
    </row>
    <row r="537" spans="2:20">
      <c r="B537" s="215">
        <v>2813442800</v>
      </c>
      <c r="E537" s="216">
        <f t="shared" si="122"/>
        <v>5.4399999999999995</v>
      </c>
      <c r="F537" s="216">
        <v>4.08</v>
      </c>
      <c r="G537" s="222" t="s">
        <v>1519</v>
      </c>
      <c r="J537" s="49">
        <f t="shared" si="123"/>
        <v>2813442800</v>
      </c>
      <c r="K537" s="217">
        <f t="shared" si="124"/>
        <v>5.4399999999999995</v>
      </c>
      <c r="L537" s="282">
        <v>3.04</v>
      </c>
      <c r="M537" s="282">
        <f t="shared" si="121"/>
        <v>4.08</v>
      </c>
      <c r="N537" s="282">
        <f t="shared" si="125"/>
        <v>4.08</v>
      </c>
      <c r="O537" s="261"/>
      <c r="P537" s="261"/>
      <c r="Q537" s="16">
        <v>2811702800</v>
      </c>
      <c r="R537" t="s">
        <v>630</v>
      </c>
      <c r="S537" s="343">
        <v>37.200000000000003</v>
      </c>
      <c r="T537">
        <v>40.92</v>
      </c>
    </row>
    <row r="538" spans="2:20">
      <c r="B538" s="215">
        <v>2813910000</v>
      </c>
      <c r="E538" s="216">
        <f t="shared" si="122"/>
        <v>3.94</v>
      </c>
      <c r="F538" s="216">
        <v>2.96</v>
      </c>
      <c r="G538" s="222" t="s">
        <v>1520</v>
      </c>
      <c r="J538" s="49">
        <f t="shared" si="123"/>
        <v>2813910000</v>
      </c>
      <c r="K538" s="217">
        <f t="shared" si="124"/>
        <v>3.94</v>
      </c>
      <c r="L538" s="282">
        <v>3.59</v>
      </c>
      <c r="M538" s="282">
        <f t="shared" si="121"/>
        <v>2.96</v>
      </c>
      <c r="N538" s="282">
        <f t="shared" si="125"/>
        <v>2.9550000000000001</v>
      </c>
      <c r="O538" s="261"/>
      <c r="P538" s="261"/>
      <c r="Q538" s="16">
        <v>2811702890</v>
      </c>
      <c r="R538" t="s">
        <v>1530</v>
      </c>
      <c r="S538" s="343">
        <v>55.57</v>
      </c>
      <c r="T538">
        <v>61.13</v>
      </c>
    </row>
    <row r="539" spans="2:20">
      <c r="B539" s="215">
        <v>2813910001</v>
      </c>
      <c r="E539" s="216">
        <f t="shared" si="122"/>
        <v>4.63</v>
      </c>
      <c r="F539" s="216">
        <v>3.47</v>
      </c>
      <c r="G539" s="222" t="s">
        <v>1521</v>
      </c>
      <c r="J539" s="49">
        <f t="shared" si="123"/>
        <v>2813910001</v>
      </c>
      <c r="K539" s="217">
        <f t="shared" si="124"/>
        <v>4.63</v>
      </c>
      <c r="L539" s="282">
        <v>6.95</v>
      </c>
      <c r="M539" s="282">
        <f t="shared" si="121"/>
        <v>3.47</v>
      </c>
      <c r="N539" s="282">
        <f t="shared" si="125"/>
        <v>3.4725000000000001</v>
      </c>
      <c r="O539" s="261"/>
      <c r="P539" s="261"/>
      <c r="Q539" s="16">
        <v>2811705190</v>
      </c>
      <c r="R539" t="s">
        <v>472</v>
      </c>
      <c r="S539" s="349">
        <v>710.15</v>
      </c>
    </row>
    <row r="540" spans="2:20">
      <c r="B540" s="215">
        <v>2813910002</v>
      </c>
      <c r="E540" s="216">
        <f t="shared" si="122"/>
        <v>8.9700000000000006</v>
      </c>
      <c r="F540" s="216">
        <v>6.73</v>
      </c>
      <c r="G540" s="222" t="s">
        <v>1522</v>
      </c>
      <c r="J540" s="49">
        <f t="shared" si="123"/>
        <v>2813910002</v>
      </c>
      <c r="K540" s="217">
        <f t="shared" si="124"/>
        <v>8.9700000000000006</v>
      </c>
      <c r="L540" s="282">
        <v>3.76</v>
      </c>
      <c r="M540" s="282">
        <f t="shared" si="121"/>
        <v>6.73</v>
      </c>
      <c r="N540" s="282">
        <f t="shared" si="125"/>
        <v>6.7275000000000009</v>
      </c>
      <c r="O540" s="261"/>
      <c r="P540" s="261"/>
      <c r="Q540" s="16">
        <v>2811706100</v>
      </c>
      <c r="R540" t="s">
        <v>1533</v>
      </c>
      <c r="S540" s="343">
        <v>379.51</v>
      </c>
    </row>
    <row r="541" spans="2:20">
      <c r="B541" s="215">
        <v>2813910003</v>
      </c>
      <c r="E541" s="216">
        <f t="shared" si="122"/>
        <v>4.8499999999999996</v>
      </c>
      <c r="F541" s="216">
        <v>3.64</v>
      </c>
      <c r="G541" s="222" t="s">
        <v>1523</v>
      </c>
      <c r="J541" s="49">
        <f t="shared" si="123"/>
        <v>2813910003</v>
      </c>
      <c r="K541" s="217">
        <f t="shared" si="124"/>
        <v>4.8499999999999996</v>
      </c>
      <c r="L541" s="282">
        <v>7.34</v>
      </c>
      <c r="M541" s="282">
        <f t="shared" si="121"/>
        <v>3.64</v>
      </c>
      <c r="N541" s="282">
        <f t="shared" si="125"/>
        <v>3.6374999999999997</v>
      </c>
      <c r="O541" s="261"/>
      <c r="P541" s="261"/>
      <c r="Q541" s="16">
        <v>2811706200</v>
      </c>
      <c r="R541" t="s">
        <v>1535</v>
      </c>
      <c r="S541" s="343">
        <v>379.51</v>
      </c>
    </row>
    <row r="542" spans="2:20">
      <c r="B542" s="215">
        <v>2813910004</v>
      </c>
      <c r="E542" s="216">
        <f t="shared" si="122"/>
        <v>9.49</v>
      </c>
      <c r="F542" s="216">
        <v>7.12</v>
      </c>
      <c r="G542" s="222" t="s">
        <v>1524</v>
      </c>
      <c r="J542" s="49">
        <f t="shared" si="123"/>
        <v>2813910004</v>
      </c>
      <c r="K542" s="217">
        <f t="shared" si="124"/>
        <v>9.49</v>
      </c>
      <c r="L542" s="282">
        <v>12.48</v>
      </c>
      <c r="M542" s="282">
        <f t="shared" si="121"/>
        <v>7.12</v>
      </c>
      <c r="N542" s="282">
        <f t="shared" si="125"/>
        <v>7.1174999999999997</v>
      </c>
      <c r="O542" s="261"/>
      <c r="P542" s="261"/>
      <c r="Q542" s="16">
        <v>2811706602</v>
      </c>
      <c r="R542" t="s">
        <v>907</v>
      </c>
      <c r="S542" s="343">
        <v>1120.99</v>
      </c>
    </row>
    <row r="543" spans="2:20">
      <c r="B543" s="215">
        <v>2813910005</v>
      </c>
      <c r="E543" s="216">
        <f t="shared" si="122"/>
        <v>16.110000000000003</v>
      </c>
      <c r="F543" s="216">
        <v>12.08</v>
      </c>
      <c r="G543" s="222" t="s">
        <v>1525</v>
      </c>
      <c r="J543" s="49">
        <f t="shared" si="123"/>
        <v>2813910005</v>
      </c>
      <c r="K543" s="217">
        <f t="shared" si="124"/>
        <v>16.110000000000003</v>
      </c>
      <c r="L543" s="282">
        <v>5.74</v>
      </c>
      <c r="M543" s="282">
        <f t="shared" si="121"/>
        <v>12.08</v>
      </c>
      <c r="N543" s="282">
        <f t="shared" si="125"/>
        <v>12.082500000000003</v>
      </c>
      <c r="O543" s="261"/>
      <c r="P543" s="261"/>
      <c r="Q543" s="16">
        <v>2811711080</v>
      </c>
      <c r="R543" s="347" t="s">
        <v>908</v>
      </c>
      <c r="S543" s="349">
        <v>125.12</v>
      </c>
    </row>
    <row r="544" spans="2:20">
      <c r="B544" s="215">
        <v>2813910006</v>
      </c>
      <c r="E544" s="216">
        <f t="shared" si="122"/>
        <v>7.4</v>
      </c>
      <c r="F544" s="216">
        <v>5.55</v>
      </c>
      <c r="G544" s="222" t="s">
        <v>1526</v>
      </c>
      <c r="J544" s="49">
        <f t="shared" si="123"/>
        <v>2813910006</v>
      </c>
      <c r="K544" s="217">
        <f t="shared" si="124"/>
        <v>7.4</v>
      </c>
      <c r="L544" s="282">
        <v>3.89</v>
      </c>
      <c r="M544" s="282">
        <f t="shared" ref="M544:M607" si="126">ROUND(N544,2)</f>
        <v>5.55</v>
      </c>
      <c r="N544" s="282">
        <f t="shared" si="125"/>
        <v>5.5500000000000007</v>
      </c>
      <c r="O544" s="261"/>
      <c r="P544" s="261"/>
      <c r="Q544" s="16">
        <v>2811711180</v>
      </c>
      <c r="R544" t="s">
        <v>909</v>
      </c>
      <c r="S544" s="343">
        <v>199.23</v>
      </c>
    </row>
    <row r="545" spans="2:20">
      <c r="B545" s="215">
        <v>2813910007</v>
      </c>
      <c r="E545" s="216">
        <f t="shared" si="122"/>
        <v>5.04</v>
      </c>
      <c r="F545" s="216">
        <v>3.78</v>
      </c>
      <c r="G545" s="222" t="s">
        <v>1527</v>
      </c>
      <c r="J545" s="49">
        <f t="shared" si="123"/>
        <v>2813910007</v>
      </c>
      <c r="K545" s="217">
        <f t="shared" si="124"/>
        <v>5.04</v>
      </c>
      <c r="L545" s="282">
        <v>2.56</v>
      </c>
      <c r="M545" s="282">
        <f t="shared" si="126"/>
        <v>3.78</v>
      </c>
      <c r="N545" s="282">
        <f t="shared" si="125"/>
        <v>3.7800000000000002</v>
      </c>
      <c r="O545" s="261"/>
      <c r="P545" s="261"/>
      <c r="Q545" s="16">
        <v>2811711280</v>
      </c>
      <c r="R545" s="347" t="s">
        <v>910</v>
      </c>
      <c r="S545" s="349">
        <v>181.98999999999998</v>
      </c>
    </row>
    <row r="546" spans="2:20">
      <c r="B546" s="215">
        <v>2813910008</v>
      </c>
      <c r="E546" s="216">
        <f t="shared" si="122"/>
        <v>3.32</v>
      </c>
      <c r="F546" s="216">
        <v>2.4900000000000002</v>
      </c>
      <c r="G546" s="222" t="s">
        <v>1528</v>
      </c>
      <c r="J546" s="49">
        <f t="shared" si="123"/>
        <v>2813910008</v>
      </c>
      <c r="K546" s="217">
        <f t="shared" si="124"/>
        <v>3.32</v>
      </c>
      <c r="L546" s="282">
        <v>27.76</v>
      </c>
      <c r="M546" s="282">
        <f t="shared" si="126"/>
        <v>2.4900000000000002</v>
      </c>
      <c r="N546" s="282">
        <f t="shared" si="125"/>
        <v>2.4899999999999998</v>
      </c>
      <c r="O546" s="261"/>
      <c r="P546" s="261"/>
      <c r="Q546" s="16">
        <v>2811712220</v>
      </c>
      <c r="R546" t="s">
        <v>911</v>
      </c>
      <c r="S546" s="349">
        <v>162.01999999999998</v>
      </c>
    </row>
    <row r="547" spans="2:20">
      <c r="B547" s="215">
        <v>2813910009</v>
      </c>
      <c r="E547" s="216">
        <f t="shared" si="122"/>
        <v>35.83</v>
      </c>
      <c r="F547" s="216">
        <v>26.87</v>
      </c>
      <c r="G547" s="222" t="s">
        <v>1529</v>
      </c>
      <c r="J547" s="49">
        <f t="shared" si="123"/>
        <v>2813910009</v>
      </c>
      <c r="K547" s="217">
        <f t="shared" si="124"/>
        <v>35.83</v>
      </c>
      <c r="L547" s="282">
        <v>27.76</v>
      </c>
      <c r="M547" s="282">
        <f t="shared" si="126"/>
        <v>26.87</v>
      </c>
      <c r="N547" s="282">
        <f t="shared" si="125"/>
        <v>26.872499999999999</v>
      </c>
      <c r="O547" s="261"/>
      <c r="P547" s="261"/>
      <c r="Q547" s="16">
        <v>2811712880</v>
      </c>
      <c r="R547" t="s">
        <v>912</v>
      </c>
      <c r="S547" s="343">
        <v>228.41</v>
      </c>
      <c r="T547">
        <v>251.25</v>
      </c>
    </row>
    <row r="548" spans="2:20">
      <c r="B548" s="215">
        <v>2813910010</v>
      </c>
      <c r="E548" s="216">
        <f t="shared" si="122"/>
        <v>35.83</v>
      </c>
      <c r="F548" s="216">
        <v>26.87</v>
      </c>
      <c r="G548" s="222" t="s">
        <v>1531</v>
      </c>
      <c r="J548" s="49">
        <f t="shared" si="123"/>
        <v>2813910010</v>
      </c>
      <c r="K548" s="217">
        <f t="shared" si="124"/>
        <v>35.83</v>
      </c>
      <c r="L548" s="282">
        <v>33.770000000000003</v>
      </c>
      <c r="M548" s="282">
        <f t="shared" si="126"/>
        <v>26.87</v>
      </c>
      <c r="N548" s="282">
        <f t="shared" si="125"/>
        <v>26.872499999999999</v>
      </c>
      <c r="O548" s="261"/>
      <c r="P548" s="261"/>
      <c r="Q548" s="16">
        <v>2811715490</v>
      </c>
      <c r="R548" t="s">
        <v>473</v>
      </c>
      <c r="S548" s="349">
        <v>231.95</v>
      </c>
    </row>
    <row r="549" spans="2:20">
      <c r="B549" s="215">
        <v>2813910011</v>
      </c>
      <c r="E549" s="216">
        <f t="shared" si="122"/>
        <v>43.6</v>
      </c>
      <c r="F549" s="216">
        <v>32.700000000000003</v>
      </c>
      <c r="G549" s="222" t="s">
        <v>1532</v>
      </c>
      <c r="J549" s="49">
        <f t="shared" si="123"/>
        <v>2813910011</v>
      </c>
      <c r="K549" s="217">
        <f t="shared" si="124"/>
        <v>43.6</v>
      </c>
      <c r="L549" s="282">
        <v>27.76</v>
      </c>
      <c r="M549" s="282">
        <f t="shared" si="126"/>
        <v>32.700000000000003</v>
      </c>
      <c r="N549" s="282">
        <f t="shared" si="125"/>
        <v>32.700000000000003</v>
      </c>
      <c r="O549" s="261"/>
      <c r="P549" s="261"/>
      <c r="Q549" s="16">
        <v>2811721080</v>
      </c>
      <c r="R549" t="s">
        <v>913</v>
      </c>
      <c r="S549" s="349">
        <v>127.96000000000001</v>
      </c>
    </row>
    <row r="550" spans="2:20">
      <c r="B550" s="215">
        <v>2813910012</v>
      </c>
      <c r="E550" s="216">
        <f t="shared" si="122"/>
        <v>35.83</v>
      </c>
      <c r="F550" s="216">
        <v>26.87</v>
      </c>
      <c r="G550" s="222" t="s">
        <v>1534</v>
      </c>
      <c r="J550" s="49">
        <f t="shared" si="123"/>
        <v>2813910012</v>
      </c>
      <c r="K550" s="217">
        <f t="shared" si="124"/>
        <v>35.83</v>
      </c>
      <c r="L550" s="282">
        <v>27.76</v>
      </c>
      <c r="M550" s="282">
        <f t="shared" si="126"/>
        <v>26.87</v>
      </c>
      <c r="N550" s="282">
        <f t="shared" si="125"/>
        <v>26.872499999999999</v>
      </c>
      <c r="O550" s="261"/>
      <c r="P550" s="261"/>
      <c r="Q550" s="16">
        <v>2811740790</v>
      </c>
      <c r="R550" t="s">
        <v>474</v>
      </c>
      <c r="S550" s="343">
        <v>233.84</v>
      </c>
    </row>
    <row r="551" spans="2:20">
      <c r="B551" s="215">
        <v>2813910013</v>
      </c>
      <c r="E551" s="216">
        <f t="shared" si="122"/>
        <v>35.83</v>
      </c>
      <c r="F551" s="216">
        <v>26.87</v>
      </c>
      <c r="G551" s="222" t="s">
        <v>1536</v>
      </c>
      <c r="J551" s="49">
        <f t="shared" si="123"/>
        <v>2813910013</v>
      </c>
      <c r="K551" s="217">
        <f t="shared" si="124"/>
        <v>35.83</v>
      </c>
      <c r="L551" s="282">
        <v>27.76</v>
      </c>
      <c r="M551" s="282">
        <f t="shared" si="126"/>
        <v>26.87</v>
      </c>
      <c r="N551" s="282">
        <f t="shared" si="125"/>
        <v>26.872499999999999</v>
      </c>
      <c r="O551" s="261"/>
      <c r="P551" s="261"/>
      <c r="Q551" s="16">
        <v>2811746280</v>
      </c>
      <c r="R551" t="s">
        <v>1831</v>
      </c>
      <c r="S551" s="343">
        <v>209.41</v>
      </c>
    </row>
    <row r="552" spans="2:20">
      <c r="B552" s="215">
        <v>2813910014</v>
      </c>
      <c r="E552" s="216">
        <f t="shared" si="122"/>
        <v>35.83</v>
      </c>
      <c r="F552" s="216">
        <v>26.87</v>
      </c>
      <c r="G552" s="222" t="s">
        <v>1537</v>
      </c>
      <c r="J552" s="49">
        <f t="shared" si="123"/>
        <v>2813910014</v>
      </c>
      <c r="K552" s="217">
        <f t="shared" si="124"/>
        <v>35.83</v>
      </c>
      <c r="L552" s="282">
        <v>27.76</v>
      </c>
      <c r="M552" s="282">
        <f t="shared" si="126"/>
        <v>26.87</v>
      </c>
      <c r="N552" s="282">
        <f t="shared" si="125"/>
        <v>26.872499999999999</v>
      </c>
      <c r="O552" s="261"/>
      <c r="P552" s="261"/>
      <c r="Q552" s="16">
        <v>2811750790</v>
      </c>
      <c r="R552" t="s">
        <v>475</v>
      </c>
      <c r="S552" s="343">
        <v>226.99</v>
      </c>
    </row>
    <row r="553" spans="2:20">
      <c r="B553" s="215">
        <v>2813910015</v>
      </c>
      <c r="E553" s="216">
        <f t="shared" si="122"/>
        <v>35.83</v>
      </c>
      <c r="F553" s="216">
        <v>26.87</v>
      </c>
      <c r="G553" s="222" t="s">
        <v>1538</v>
      </c>
      <c r="J553" s="49">
        <f t="shared" si="123"/>
        <v>2813910015</v>
      </c>
      <c r="K553" s="217">
        <f t="shared" si="124"/>
        <v>35.83</v>
      </c>
      <c r="L553" s="282">
        <v>27.76</v>
      </c>
      <c r="M553" s="282">
        <f t="shared" si="126"/>
        <v>26.87</v>
      </c>
      <c r="N553" s="282">
        <f t="shared" si="125"/>
        <v>26.872499999999999</v>
      </c>
      <c r="O553" s="261"/>
      <c r="P553" s="261"/>
      <c r="Q553" s="345">
        <v>2811756200</v>
      </c>
      <c r="R553" t="s">
        <v>914</v>
      </c>
      <c r="S553" s="343">
        <v>240.1</v>
      </c>
    </row>
    <row r="554" spans="2:20">
      <c r="B554" s="215">
        <v>2813910016</v>
      </c>
      <c r="E554" s="216">
        <f t="shared" ref="E554:E617" si="127">VLOOKUP(B554,$Q$14:$S$1164,3,FALSE)</f>
        <v>35.83</v>
      </c>
      <c r="F554" s="216">
        <v>26.87</v>
      </c>
      <c r="G554" s="222" t="s">
        <v>1539</v>
      </c>
      <c r="J554" s="49">
        <f t="shared" ref="J554:J617" si="128">B554*$K$13</f>
        <v>2813910016</v>
      </c>
      <c r="K554" s="217">
        <f t="shared" ref="K554:K617" si="129">VLOOKUP(J554,$Q$14:$S$1164,3,FALSE)</f>
        <v>35.83</v>
      </c>
      <c r="L554" s="282">
        <v>27.76</v>
      </c>
      <c r="M554" s="282">
        <f t="shared" si="126"/>
        <v>26.87</v>
      </c>
      <c r="N554" s="282">
        <f t="shared" ref="N554:N617" si="130">K554*$N$13</f>
        <v>26.872499999999999</v>
      </c>
      <c r="O554" s="261"/>
      <c r="P554" s="261"/>
      <c r="Q554" s="16">
        <v>2811756280</v>
      </c>
      <c r="R554" t="s">
        <v>915</v>
      </c>
      <c r="S554" s="343">
        <v>247.29999999999998</v>
      </c>
    </row>
    <row r="555" spans="2:20">
      <c r="B555" s="215">
        <v>2813910017</v>
      </c>
      <c r="E555" s="216">
        <f t="shared" si="127"/>
        <v>35.83</v>
      </c>
      <c r="F555" s="216">
        <v>26.87</v>
      </c>
      <c r="G555" s="222" t="s">
        <v>1540</v>
      </c>
      <c r="J555" s="49">
        <f t="shared" si="128"/>
        <v>2813910017</v>
      </c>
      <c r="K555" s="217">
        <f t="shared" si="129"/>
        <v>35.83</v>
      </c>
      <c r="L555" s="282">
        <v>42.56</v>
      </c>
      <c r="M555" s="282">
        <f t="shared" si="126"/>
        <v>26.87</v>
      </c>
      <c r="N555" s="282">
        <f t="shared" si="130"/>
        <v>26.872499999999999</v>
      </c>
      <c r="O555" s="261"/>
      <c r="P555" s="261"/>
      <c r="Q555" s="16">
        <v>2811760780</v>
      </c>
      <c r="R555" t="s">
        <v>916</v>
      </c>
      <c r="S555" s="343">
        <v>268.98</v>
      </c>
    </row>
    <row r="556" spans="2:20">
      <c r="B556" s="215">
        <v>2813910018</v>
      </c>
      <c r="E556" s="216">
        <f t="shared" si="127"/>
        <v>54.94</v>
      </c>
      <c r="F556" s="216">
        <v>41.21</v>
      </c>
      <c r="G556" s="222" t="s">
        <v>1541</v>
      </c>
      <c r="J556" s="49">
        <f t="shared" si="128"/>
        <v>2813910018</v>
      </c>
      <c r="K556" s="217">
        <f t="shared" si="129"/>
        <v>54.94</v>
      </c>
      <c r="L556" s="282">
        <v>42.56</v>
      </c>
      <c r="M556" s="282">
        <f t="shared" si="126"/>
        <v>41.21</v>
      </c>
      <c r="N556" s="282">
        <f t="shared" si="130"/>
        <v>41.204999999999998</v>
      </c>
      <c r="O556" s="261"/>
      <c r="P556" s="261"/>
      <c r="Q556" s="16">
        <v>2811760790</v>
      </c>
      <c r="R556" t="s">
        <v>476</v>
      </c>
      <c r="S556" s="349">
        <v>226.92999999999998</v>
      </c>
    </row>
    <row r="557" spans="2:20">
      <c r="B557" s="215">
        <v>2813910019</v>
      </c>
      <c r="E557" s="216">
        <f t="shared" si="127"/>
        <v>54.94</v>
      </c>
      <c r="F557" s="216">
        <v>41.21</v>
      </c>
      <c r="G557" s="222" t="s">
        <v>1542</v>
      </c>
      <c r="J557" s="49">
        <f t="shared" si="128"/>
        <v>2813910019</v>
      </c>
      <c r="K557" s="217">
        <f t="shared" si="129"/>
        <v>54.94</v>
      </c>
      <c r="L557" s="282">
        <v>51.78</v>
      </c>
      <c r="M557" s="282">
        <f t="shared" si="126"/>
        <v>41.21</v>
      </c>
      <c r="N557" s="282">
        <f t="shared" si="130"/>
        <v>41.204999999999998</v>
      </c>
      <c r="O557" s="261"/>
      <c r="P557" s="261"/>
      <c r="Q557" s="16">
        <v>2811760990</v>
      </c>
      <c r="R557" t="s">
        <v>477</v>
      </c>
      <c r="S557" s="343">
        <v>383.02</v>
      </c>
    </row>
    <row r="558" spans="2:20">
      <c r="B558" s="215">
        <v>2813910020</v>
      </c>
      <c r="E558" s="216">
        <f t="shared" si="127"/>
        <v>66.84</v>
      </c>
      <c r="F558" s="216">
        <v>50.13</v>
      </c>
      <c r="G558" s="222" t="s">
        <v>1543</v>
      </c>
      <c r="J558" s="49">
        <f t="shared" si="128"/>
        <v>2813910020</v>
      </c>
      <c r="K558" s="217">
        <f t="shared" si="129"/>
        <v>66.84</v>
      </c>
      <c r="L558" s="282">
        <v>42.56</v>
      </c>
      <c r="M558" s="282">
        <f t="shared" si="126"/>
        <v>50.13</v>
      </c>
      <c r="N558" s="282">
        <f t="shared" si="130"/>
        <v>50.13</v>
      </c>
      <c r="O558" s="261"/>
      <c r="P558" s="261"/>
      <c r="Q558" s="16">
        <v>2811761890</v>
      </c>
      <c r="R558" t="s">
        <v>478</v>
      </c>
      <c r="S558" s="349">
        <v>231.92999999999998</v>
      </c>
    </row>
    <row r="559" spans="2:20">
      <c r="B559" s="215">
        <v>2813910021</v>
      </c>
      <c r="E559" s="216">
        <f t="shared" si="127"/>
        <v>54.94</v>
      </c>
      <c r="F559" s="216">
        <v>41.21</v>
      </c>
      <c r="G559" s="222" t="s">
        <v>1544</v>
      </c>
      <c r="J559" s="49">
        <f t="shared" si="128"/>
        <v>2813910021</v>
      </c>
      <c r="K559" s="217">
        <f t="shared" si="129"/>
        <v>54.94</v>
      </c>
      <c r="L559" s="282">
        <v>42.56</v>
      </c>
      <c r="M559" s="282">
        <f t="shared" si="126"/>
        <v>41.21</v>
      </c>
      <c r="N559" s="282">
        <f t="shared" si="130"/>
        <v>41.204999999999998</v>
      </c>
      <c r="O559" s="261"/>
      <c r="P559" s="261"/>
      <c r="Q559" s="16">
        <v>2811762090</v>
      </c>
      <c r="R559" t="s">
        <v>479</v>
      </c>
      <c r="S559" s="343">
        <v>262.51</v>
      </c>
    </row>
    <row r="560" spans="2:20">
      <c r="B560" s="215">
        <v>2813910022</v>
      </c>
      <c r="E560" s="216">
        <f t="shared" si="127"/>
        <v>54.919999999999995</v>
      </c>
      <c r="F560" s="216">
        <v>41.19</v>
      </c>
      <c r="G560" s="222" t="s">
        <v>1545</v>
      </c>
      <c r="J560" s="49">
        <f t="shared" si="128"/>
        <v>2813910022</v>
      </c>
      <c r="K560" s="217">
        <f t="shared" si="129"/>
        <v>54.919999999999995</v>
      </c>
      <c r="L560" s="282">
        <v>42.56</v>
      </c>
      <c r="M560" s="282">
        <f t="shared" si="126"/>
        <v>41.19</v>
      </c>
      <c r="N560" s="282">
        <f t="shared" si="130"/>
        <v>41.19</v>
      </c>
      <c r="O560" s="261"/>
      <c r="P560" s="261"/>
      <c r="Q560" s="16">
        <v>2811762190</v>
      </c>
      <c r="R560" t="s">
        <v>480</v>
      </c>
      <c r="S560" s="349">
        <v>226.92999999999998</v>
      </c>
    </row>
    <row r="561" spans="2:20">
      <c r="B561" s="215">
        <v>2813910023</v>
      </c>
      <c r="E561" s="216">
        <f t="shared" si="127"/>
        <v>54.94</v>
      </c>
      <c r="F561" s="216">
        <v>41.21</v>
      </c>
      <c r="G561" s="222" t="s">
        <v>1546</v>
      </c>
      <c r="J561" s="49">
        <f t="shared" si="128"/>
        <v>2813910023</v>
      </c>
      <c r="K561" s="217">
        <f t="shared" si="129"/>
        <v>54.94</v>
      </c>
      <c r="L561" s="282">
        <v>42.56</v>
      </c>
      <c r="M561" s="282">
        <f t="shared" si="126"/>
        <v>41.21</v>
      </c>
      <c r="N561" s="282">
        <f t="shared" si="130"/>
        <v>41.204999999999998</v>
      </c>
      <c r="O561" s="261"/>
      <c r="P561" s="261"/>
      <c r="Q561" s="16">
        <v>2811770990</v>
      </c>
      <c r="R561" t="s">
        <v>481</v>
      </c>
      <c r="S561" s="343">
        <v>194.44</v>
      </c>
    </row>
    <row r="562" spans="2:20">
      <c r="B562" s="215">
        <v>2813910024</v>
      </c>
      <c r="E562" s="216">
        <f t="shared" si="127"/>
        <v>54.919999999999995</v>
      </c>
      <c r="F562" s="216">
        <v>41.19</v>
      </c>
      <c r="G562" s="222" t="s">
        <v>1547</v>
      </c>
      <c r="J562" s="49">
        <f t="shared" si="128"/>
        <v>2813910024</v>
      </c>
      <c r="K562" s="217">
        <f t="shared" si="129"/>
        <v>54.919999999999995</v>
      </c>
      <c r="L562" s="282">
        <v>42.56</v>
      </c>
      <c r="M562" s="282">
        <f t="shared" si="126"/>
        <v>41.19</v>
      </c>
      <c r="N562" s="282">
        <f t="shared" si="130"/>
        <v>41.19</v>
      </c>
      <c r="O562" s="261"/>
      <c r="P562" s="261"/>
      <c r="Q562" s="16">
        <v>2811771490</v>
      </c>
      <c r="R562" t="s">
        <v>482</v>
      </c>
      <c r="S562" s="349">
        <v>176.53</v>
      </c>
    </row>
    <row r="563" spans="2:20">
      <c r="B563" s="215">
        <v>2813910025</v>
      </c>
      <c r="E563" s="216">
        <f t="shared" si="127"/>
        <v>54.94</v>
      </c>
      <c r="F563" s="216">
        <v>41.21</v>
      </c>
      <c r="G563" s="222" t="s">
        <v>1548</v>
      </c>
      <c r="J563" s="49">
        <f t="shared" si="128"/>
        <v>2813910025</v>
      </c>
      <c r="K563" s="217">
        <f t="shared" si="129"/>
        <v>54.94</v>
      </c>
      <c r="L563" s="282">
        <v>42.56</v>
      </c>
      <c r="M563" s="282">
        <f t="shared" si="126"/>
        <v>41.21</v>
      </c>
      <c r="N563" s="282">
        <f t="shared" si="130"/>
        <v>41.204999999999998</v>
      </c>
      <c r="O563" s="261"/>
      <c r="P563" s="261"/>
      <c r="Q563" s="345">
        <v>2811771780</v>
      </c>
      <c r="R563" t="s">
        <v>917</v>
      </c>
      <c r="S563" s="343">
        <v>218.73</v>
      </c>
    </row>
    <row r="564" spans="2:20">
      <c r="B564" s="215">
        <v>2813910026</v>
      </c>
      <c r="E564" s="216">
        <f t="shared" si="127"/>
        <v>54.94</v>
      </c>
      <c r="F564" s="216">
        <v>41.21</v>
      </c>
      <c r="G564" s="222" t="s">
        <v>1549</v>
      </c>
      <c r="J564" s="49">
        <f t="shared" si="128"/>
        <v>2813910026</v>
      </c>
      <c r="K564" s="217">
        <f t="shared" si="129"/>
        <v>54.94</v>
      </c>
      <c r="L564" s="282">
        <v>5.51</v>
      </c>
      <c r="M564" s="282">
        <f t="shared" si="126"/>
        <v>41.21</v>
      </c>
      <c r="N564" s="282">
        <f t="shared" si="130"/>
        <v>41.204999999999998</v>
      </c>
      <c r="O564" s="261"/>
      <c r="P564" s="261"/>
      <c r="Q564" s="16">
        <v>2811771890</v>
      </c>
      <c r="R564" t="s">
        <v>483</v>
      </c>
      <c r="S564" s="349">
        <v>226.92999999999998</v>
      </c>
    </row>
    <row r="565" spans="2:20">
      <c r="B565" s="215">
        <v>2813910027</v>
      </c>
      <c r="E565" s="216">
        <f t="shared" si="127"/>
        <v>7.13</v>
      </c>
      <c r="F565" s="216">
        <v>5.35</v>
      </c>
      <c r="G565" s="222" t="s">
        <v>1550</v>
      </c>
      <c r="J565" s="49">
        <f t="shared" si="128"/>
        <v>2813910027</v>
      </c>
      <c r="K565" s="217">
        <f t="shared" si="129"/>
        <v>7.13</v>
      </c>
      <c r="L565" s="282">
        <v>5.51</v>
      </c>
      <c r="M565" s="282">
        <f t="shared" si="126"/>
        <v>5.35</v>
      </c>
      <c r="N565" s="282">
        <f t="shared" si="130"/>
        <v>5.3475000000000001</v>
      </c>
      <c r="O565" s="261"/>
      <c r="P565" s="261"/>
      <c r="Q565" s="16">
        <v>2811772090</v>
      </c>
      <c r="R565" t="s">
        <v>484</v>
      </c>
      <c r="S565" s="343">
        <v>262.51</v>
      </c>
    </row>
    <row r="566" spans="2:20">
      <c r="B566" s="215">
        <v>2813910028</v>
      </c>
      <c r="E566" s="216">
        <f t="shared" si="127"/>
        <v>7.13</v>
      </c>
      <c r="F566" s="216">
        <v>5.35</v>
      </c>
      <c r="G566" s="222" t="s">
        <v>1551</v>
      </c>
      <c r="J566" s="49">
        <f t="shared" si="128"/>
        <v>2813910028</v>
      </c>
      <c r="K566" s="217">
        <f t="shared" si="129"/>
        <v>7.13</v>
      </c>
      <c r="L566" s="282">
        <v>5.64</v>
      </c>
      <c r="M566" s="282">
        <f t="shared" si="126"/>
        <v>5.35</v>
      </c>
      <c r="N566" s="282">
        <f t="shared" si="130"/>
        <v>5.3475000000000001</v>
      </c>
      <c r="O566" s="261"/>
      <c r="P566" s="261"/>
      <c r="Q566" s="16">
        <v>2811772800</v>
      </c>
      <c r="R566" s="347" t="s">
        <v>918</v>
      </c>
      <c r="S566" s="343">
        <v>81.33</v>
      </c>
    </row>
    <row r="567" spans="2:20">
      <c r="B567" s="215">
        <v>2813910029</v>
      </c>
      <c r="E567" s="216">
        <f t="shared" si="127"/>
        <v>7.29</v>
      </c>
      <c r="F567" s="216">
        <v>5.47</v>
      </c>
      <c r="G567" s="222" t="s">
        <v>1552</v>
      </c>
      <c r="J567" s="49">
        <f t="shared" si="128"/>
        <v>2813910029</v>
      </c>
      <c r="K567" s="217">
        <f t="shared" si="129"/>
        <v>7.29</v>
      </c>
      <c r="L567" s="282">
        <v>5.51</v>
      </c>
      <c r="M567" s="282">
        <f t="shared" si="126"/>
        <v>5.47</v>
      </c>
      <c r="N567" s="282">
        <f t="shared" si="130"/>
        <v>5.4675000000000002</v>
      </c>
      <c r="O567" s="261"/>
      <c r="P567" s="261"/>
      <c r="Q567" s="16">
        <v>2811772890</v>
      </c>
      <c r="R567" t="s">
        <v>1530</v>
      </c>
      <c r="S567" s="343">
        <v>88.12</v>
      </c>
      <c r="T567">
        <v>96.93</v>
      </c>
    </row>
    <row r="568" spans="2:20">
      <c r="B568" s="215">
        <v>2813910030</v>
      </c>
      <c r="E568" s="216">
        <f t="shared" si="127"/>
        <v>7.12</v>
      </c>
      <c r="F568" s="216">
        <v>5.34</v>
      </c>
      <c r="G568" s="222" t="s">
        <v>1553</v>
      </c>
      <c r="J568" s="49">
        <f t="shared" si="128"/>
        <v>2813910030</v>
      </c>
      <c r="K568" s="217">
        <f t="shared" si="129"/>
        <v>7.12</v>
      </c>
      <c r="L568" s="282">
        <v>5.69</v>
      </c>
      <c r="M568" s="282">
        <f t="shared" si="126"/>
        <v>5.34</v>
      </c>
      <c r="N568" s="282">
        <f t="shared" si="130"/>
        <v>5.34</v>
      </c>
      <c r="O568" s="261"/>
      <c r="P568" s="261"/>
      <c r="Q568" s="16">
        <v>2811772891</v>
      </c>
      <c r="R568" s="213" t="s">
        <v>1832</v>
      </c>
      <c r="S568" s="343">
        <v>74.37</v>
      </c>
    </row>
    <row r="569" spans="2:20">
      <c r="B569" s="215">
        <v>2813910031</v>
      </c>
      <c r="E569" s="216">
        <f t="shared" si="127"/>
        <v>7.35</v>
      </c>
      <c r="F569" s="216">
        <v>5.51</v>
      </c>
      <c r="G569" s="222" t="s">
        <v>1554</v>
      </c>
      <c r="J569" s="49">
        <f t="shared" si="128"/>
        <v>2813910031</v>
      </c>
      <c r="K569" s="217">
        <f t="shared" si="129"/>
        <v>7.35</v>
      </c>
      <c r="L569" s="282">
        <v>5.83</v>
      </c>
      <c r="M569" s="282">
        <f t="shared" si="126"/>
        <v>5.51</v>
      </c>
      <c r="N569" s="282">
        <f t="shared" si="130"/>
        <v>5.5124999999999993</v>
      </c>
      <c r="O569" s="261"/>
      <c r="P569" s="261"/>
      <c r="Q569" s="16">
        <v>2811775390</v>
      </c>
      <c r="R569" t="s">
        <v>485</v>
      </c>
      <c r="S569" s="343">
        <v>731.71</v>
      </c>
    </row>
    <row r="570" spans="2:20">
      <c r="B570" s="215">
        <v>2813910032</v>
      </c>
      <c r="E570" s="216">
        <f t="shared" si="127"/>
        <v>7.5299999999999994</v>
      </c>
      <c r="F570" s="216">
        <v>5.65</v>
      </c>
      <c r="G570" s="222" t="s">
        <v>1555</v>
      </c>
      <c r="J570" s="49">
        <f t="shared" si="128"/>
        <v>2813910032</v>
      </c>
      <c r="K570" s="217">
        <f t="shared" si="129"/>
        <v>7.5299999999999994</v>
      </c>
      <c r="L570" s="282">
        <v>5.92</v>
      </c>
      <c r="M570" s="282">
        <f t="shared" si="126"/>
        <v>5.65</v>
      </c>
      <c r="N570" s="282">
        <f t="shared" si="130"/>
        <v>5.6474999999999991</v>
      </c>
      <c r="O570" s="261"/>
      <c r="P570" s="261"/>
      <c r="Q570" s="16">
        <v>2811800000</v>
      </c>
      <c r="R570" t="s">
        <v>919</v>
      </c>
      <c r="S570" s="343">
        <v>436.8</v>
      </c>
    </row>
    <row r="571" spans="2:20">
      <c r="B571" s="215">
        <v>2813910033</v>
      </c>
      <c r="E571" s="216">
        <f t="shared" si="127"/>
        <v>7.66</v>
      </c>
      <c r="F571" s="216">
        <v>5.75</v>
      </c>
      <c r="G571" s="222" t="s">
        <v>1556</v>
      </c>
      <c r="J571" s="49">
        <f t="shared" si="128"/>
        <v>2813910033</v>
      </c>
      <c r="K571" s="217">
        <f t="shared" si="129"/>
        <v>7.66</v>
      </c>
      <c r="L571" s="282">
        <v>5.92</v>
      </c>
      <c r="M571" s="282">
        <f t="shared" si="126"/>
        <v>5.75</v>
      </c>
      <c r="N571" s="282">
        <f t="shared" si="130"/>
        <v>5.7450000000000001</v>
      </c>
      <c r="O571" s="261"/>
      <c r="P571" s="261"/>
      <c r="Q571" s="16">
        <v>2811806100</v>
      </c>
      <c r="R571" t="s">
        <v>920</v>
      </c>
      <c r="S571" s="343">
        <v>457.67</v>
      </c>
    </row>
    <row r="572" spans="2:20">
      <c r="B572" s="215">
        <v>2813910034</v>
      </c>
      <c r="E572" s="216">
        <f t="shared" si="127"/>
        <v>7.6499999999999995</v>
      </c>
      <c r="F572" s="216">
        <v>5.74</v>
      </c>
      <c r="G572" s="222" t="s">
        <v>1557</v>
      </c>
      <c r="J572" s="49">
        <f t="shared" si="128"/>
        <v>2813910034</v>
      </c>
      <c r="K572" s="217">
        <f t="shared" si="129"/>
        <v>7.6499999999999995</v>
      </c>
      <c r="L572" s="282">
        <v>6.66</v>
      </c>
      <c r="M572" s="282">
        <f t="shared" si="126"/>
        <v>5.74</v>
      </c>
      <c r="N572" s="282">
        <f t="shared" si="130"/>
        <v>5.7374999999999998</v>
      </c>
      <c r="O572" s="261"/>
      <c r="P572" s="261"/>
      <c r="Q572" s="16">
        <v>2811806200</v>
      </c>
      <c r="R572" t="s">
        <v>921</v>
      </c>
      <c r="S572" s="343">
        <v>457.67</v>
      </c>
    </row>
    <row r="573" spans="2:20">
      <c r="B573" s="215">
        <v>2813910035</v>
      </c>
      <c r="E573" s="216">
        <f t="shared" si="127"/>
        <v>8.6</v>
      </c>
      <c r="F573" s="216">
        <v>6.45</v>
      </c>
      <c r="G573" s="222" t="s">
        <v>1558</v>
      </c>
      <c r="J573" s="49">
        <f t="shared" si="128"/>
        <v>2813910035</v>
      </c>
      <c r="K573" s="217">
        <f t="shared" si="129"/>
        <v>8.6</v>
      </c>
      <c r="L573" s="282">
        <v>20.92</v>
      </c>
      <c r="M573" s="282">
        <f t="shared" si="126"/>
        <v>6.45</v>
      </c>
      <c r="N573" s="282">
        <f t="shared" si="130"/>
        <v>6.4499999999999993</v>
      </c>
      <c r="O573" s="261"/>
      <c r="P573" s="261"/>
      <c r="Q573" s="16">
        <v>2811806600</v>
      </c>
      <c r="R573" t="s">
        <v>919</v>
      </c>
      <c r="S573" s="343">
        <v>546.24</v>
      </c>
    </row>
    <row r="574" spans="2:20">
      <c r="B574" s="215">
        <v>2813910036</v>
      </c>
      <c r="E574" s="216">
        <f t="shared" si="127"/>
        <v>26.990000000000002</v>
      </c>
      <c r="F574" s="216">
        <v>20.239999999999998</v>
      </c>
      <c r="G574" s="222" t="s">
        <v>1559</v>
      </c>
      <c r="J574" s="49">
        <f t="shared" si="128"/>
        <v>2813910036</v>
      </c>
      <c r="K574" s="217">
        <f t="shared" si="129"/>
        <v>26.990000000000002</v>
      </c>
      <c r="L574" s="282">
        <v>29.18</v>
      </c>
      <c r="M574" s="282">
        <f t="shared" si="126"/>
        <v>20.239999999999998</v>
      </c>
      <c r="N574" s="282">
        <f t="shared" si="130"/>
        <v>20.2425</v>
      </c>
      <c r="O574" s="261"/>
      <c r="P574" s="261"/>
      <c r="Q574" s="16">
        <v>2811811080</v>
      </c>
      <c r="R574" t="s">
        <v>1231</v>
      </c>
      <c r="S574" s="349">
        <v>177.25</v>
      </c>
    </row>
    <row r="575" spans="2:20">
      <c r="B575" s="215">
        <v>2813910037</v>
      </c>
      <c r="E575" s="216">
        <f t="shared" si="127"/>
        <v>37.65</v>
      </c>
      <c r="F575" s="216">
        <v>28.24</v>
      </c>
      <c r="G575" s="222" t="s">
        <v>1560</v>
      </c>
      <c r="J575" s="49">
        <f t="shared" si="128"/>
        <v>2813910037</v>
      </c>
      <c r="K575" s="217">
        <f t="shared" si="129"/>
        <v>37.65</v>
      </c>
      <c r="L575" s="282">
        <v>1.1000000000000001</v>
      </c>
      <c r="M575" s="282">
        <f t="shared" si="126"/>
        <v>28.24</v>
      </c>
      <c r="N575" s="282">
        <f t="shared" si="130"/>
        <v>28.237499999999997</v>
      </c>
      <c r="O575" s="261"/>
      <c r="P575" s="261"/>
      <c r="Q575" s="16">
        <v>2811811180</v>
      </c>
      <c r="R575" t="s">
        <v>1232</v>
      </c>
      <c r="S575" s="343">
        <v>178.69</v>
      </c>
    </row>
    <row r="576" spans="2:20">
      <c r="B576" s="215">
        <v>2813910038</v>
      </c>
      <c r="E576" s="216">
        <f t="shared" si="127"/>
        <v>1.44</v>
      </c>
      <c r="F576" s="216">
        <v>1.08</v>
      </c>
      <c r="G576" s="222" t="s">
        <v>1561</v>
      </c>
      <c r="J576" s="49">
        <f t="shared" si="128"/>
        <v>2813910038</v>
      </c>
      <c r="K576" s="217">
        <f t="shared" si="129"/>
        <v>1.44</v>
      </c>
      <c r="L576" s="282">
        <v>1.1000000000000001</v>
      </c>
      <c r="M576" s="282">
        <f t="shared" si="126"/>
        <v>1.08</v>
      </c>
      <c r="N576" s="282">
        <f t="shared" si="130"/>
        <v>1.08</v>
      </c>
      <c r="O576" s="261"/>
      <c r="P576" s="261"/>
      <c r="Q576" s="16">
        <v>2811811280</v>
      </c>
      <c r="R576" t="s">
        <v>1233</v>
      </c>
      <c r="S576" s="349">
        <v>177.25</v>
      </c>
    </row>
    <row r="577" spans="2:19">
      <c r="B577" s="215">
        <v>2813910039</v>
      </c>
      <c r="E577" s="216">
        <f t="shared" si="127"/>
        <v>1.44</v>
      </c>
      <c r="F577" s="216">
        <v>1.08</v>
      </c>
      <c r="G577" s="222" t="s">
        <v>1562</v>
      </c>
      <c r="J577" s="49">
        <f t="shared" si="128"/>
        <v>2813910039</v>
      </c>
      <c r="K577" s="217">
        <f t="shared" si="129"/>
        <v>1.44</v>
      </c>
      <c r="L577" s="282">
        <v>1.61</v>
      </c>
      <c r="M577" s="282">
        <f t="shared" si="126"/>
        <v>1.08</v>
      </c>
      <c r="N577" s="282">
        <f t="shared" si="130"/>
        <v>1.08</v>
      </c>
      <c r="O577" s="261"/>
      <c r="P577" s="261"/>
      <c r="Q577" s="16">
        <v>2811821080</v>
      </c>
      <c r="R577" t="s">
        <v>1234</v>
      </c>
      <c r="S577" s="349">
        <v>194.98999999999998</v>
      </c>
    </row>
    <row r="578" spans="2:19">
      <c r="B578" s="215">
        <v>2813910040</v>
      </c>
      <c r="E578" s="216">
        <f t="shared" si="127"/>
        <v>2.0999999999999996</v>
      </c>
      <c r="F578" s="216">
        <v>1.58</v>
      </c>
      <c r="G578" s="222" t="s">
        <v>1563</v>
      </c>
      <c r="J578" s="49">
        <f t="shared" si="128"/>
        <v>2813910040</v>
      </c>
      <c r="K578" s="217">
        <f t="shared" si="129"/>
        <v>2.0999999999999996</v>
      </c>
      <c r="L578" s="282">
        <v>1.72</v>
      </c>
      <c r="M578" s="282">
        <f t="shared" si="126"/>
        <v>1.58</v>
      </c>
      <c r="N578" s="282">
        <f t="shared" si="130"/>
        <v>1.5749999999999997</v>
      </c>
      <c r="O578" s="261"/>
      <c r="P578" s="261"/>
      <c r="Q578" s="16">
        <v>2811821180</v>
      </c>
      <c r="R578" t="s">
        <v>1235</v>
      </c>
      <c r="S578" s="343">
        <v>196.56</v>
      </c>
    </row>
    <row r="579" spans="2:19">
      <c r="B579" s="215">
        <v>2813910041</v>
      </c>
      <c r="E579" s="216">
        <f t="shared" si="127"/>
        <v>2.2199999999999998</v>
      </c>
      <c r="F579" s="216">
        <v>1.67</v>
      </c>
      <c r="G579" s="222" t="s">
        <v>1564</v>
      </c>
      <c r="J579" s="49">
        <f t="shared" si="128"/>
        <v>2813910041</v>
      </c>
      <c r="K579" s="217">
        <f t="shared" si="129"/>
        <v>2.2199999999999998</v>
      </c>
      <c r="L579" s="282">
        <v>1.97</v>
      </c>
      <c r="M579" s="282">
        <f t="shared" si="126"/>
        <v>1.67</v>
      </c>
      <c r="N579" s="282">
        <f t="shared" si="130"/>
        <v>1.6649999999999998</v>
      </c>
      <c r="O579" s="261"/>
      <c r="P579" s="261"/>
      <c r="Q579" s="16">
        <v>2811821280</v>
      </c>
      <c r="R579" t="s">
        <v>1236</v>
      </c>
      <c r="S579" s="349">
        <v>194.98999999999998</v>
      </c>
    </row>
    <row r="580" spans="2:19">
      <c r="B580" s="215">
        <v>2813910042</v>
      </c>
      <c r="E580" s="216">
        <f t="shared" si="127"/>
        <v>2.5499999999999998</v>
      </c>
      <c r="F580" s="216">
        <v>1.91</v>
      </c>
      <c r="G580" s="222" t="s">
        <v>1565</v>
      </c>
      <c r="J580" s="49">
        <f t="shared" si="128"/>
        <v>2813910042</v>
      </c>
      <c r="K580" s="217">
        <f t="shared" si="129"/>
        <v>2.5499999999999998</v>
      </c>
      <c r="L580" s="282">
        <v>3.17</v>
      </c>
      <c r="M580" s="282">
        <f t="shared" si="126"/>
        <v>1.91</v>
      </c>
      <c r="N580" s="282">
        <f t="shared" si="130"/>
        <v>1.9124999999999999</v>
      </c>
      <c r="O580" s="261"/>
      <c r="P580" s="261"/>
      <c r="Q580" s="16">
        <v>2811841080</v>
      </c>
      <c r="R580" t="s">
        <v>1237</v>
      </c>
      <c r="S580" s="349">
        <v>214.47</v>
      </c>
    </row>
    <row r="581" spans="2:19">
      <c r="B581" s="215">
        <v>2813910043</v>
      </c>
      <c r="E581" s="216">
        <f t="shared" si="127"/>
        <v>4.09</v>
      </c>
      <c r="F581" s="216">
        <v>3.07</v>
      </c>
      <c r="G581" s="222" t="s">
        <v>1566</v>
      </c>
      <c r="J581" s="49">
        <f t="shared" si="128"/>
        <v>2813910043</v>
      </c>
      <c r="K581" s="217">
        <f t="shared" si="129"/>
        <v>4.09</v>
      </c>
      <c r="L581" s="282">
        <v>1.93</v>
      </c>
      <c r="M581" s="282">
        <f t="shared" si="126"/>
        <v>3.07</v>
      </c>
      <c r="N581" s="282">
        <f t="shared" si="130"/>
        <v>3.0674999999999999</v>
      </c>
      <c r="O581" s="261"/>
      <c r="P581" s="261"/>
      <c r="Q581" s="16">
        <v>2811841180</v>
      </c>
      <c r="R581" t="s">
        <v>1238</v>
      </c>
      <c r="S581" s="343">
        <v>216.20999999999998</v>
      </c>
    </row>
    <row r="582" spans="2:19">
      <c r="B582" s="215">
        <v>2813910044</v>
      </c>
      <c r="E582" s="216">
        <f t="shared" si="127"/>
        <v>2.4899999999999998</v>
      </c>
      <c r="F582" s="216">
        <v>1.87</v>
      </c>
      <c r="G582" s="222" t="s">
        <v>1567</v>
      </c>
      <c r="J582" s="49">
        <f t="shared" si="128"/>
        <v>2813910044</v>
      </c>
      <c r="K582" s="217">
        <f t="shared" si="129"/>
        <v>2.4899999999999998</v>
      </c>
      <c r="L582" s="282">
        <v>2.4500000000000002</v>
      </c>
      <c r="M582" s="282">
        <f t="shared" si="126"/>
        <v>1.87</v>
      </c>
      <c r="N582" s="282">
        <f t="shared" si="130"/>
        <v>1.8674999999999997</v>
      </c>
      <c r="O582" s="261"/>
      <c r="P582" s="261"/>
      <c r="Q582" s="16">
        <v>2811841280</v>
      </c>
      <c r="R582" t="s">
        <v>1239</v>
      </c>
      <c r="S582" s="349">
        <v>214.47</v>
      </c>
    </row>
    <row r="583" spans="2:19">
      <c r="B583" s="215">
        <v>2813910045</v>
      </c>
      <c r="E583" s="216">
        <f t="shared" si="127"/>
        <v>3.17</v>
      </c>
      <c r="F583" s="216">
        <v>2.38</v>
      </c>
      <c r="G583" s="222" t="s">
        <v>1569</v>
      </c>
      <c r="J583" s="49">
        <f t="shared" si="128"/>
        <v>2813910045</v>
      </c>
      <c r="K583" s="217">
        <f t="shared" si="129"/>
        <v>3.17</v>
      </c>
      <c r="L583" s="282">
        <v>3.11</v>
      </c>
      <c r="M583" s="282">
        <f t="shared" si="126"/>
        <v>2.38</v>
      </c>
      <c r="N583" s="282">
        <f t="shared" si="130"/>
        <v>2.3774999999999999</v>
      </c>
      <c r="O583" s="261"/>
      <c r="P583" s="261"/>
      <c r="Q583" s="16">
        <v>2811851080</v>
      </c>
      <c r="R583" t="s">
        <v>1240</v>
      </c>
      <c r="S583" s="349">
        <v>235.94</v>
      </c>
    </row>
    <row r="584" spans="2:19">
      <c r="B584" s="215">
        <v>2813910046</v>
      </c>
      <c r="E584" s="216">
        <f t="shared" si="127"/>
        <v>4.04</v>
      </c>
      <c r="F584" s="216">
        <v>3.03</v>
      </c>
      <c r="G584" s="222" t="s">
        <v>1571</v>
      </c>
      <c r="J584" s="49">
        <f t="shared" si="128"/>
        <v>2813910046</v>
      </c>
      <c r="K584" s="217">
        <f t="shared" si="129"/>
        <v>4.04</v>
      </c>
      <c r="L584" s="282">
        <v>0.31</v>
      </c>
      <c r="M584" s="282">
        <f t="shared" si="126"/>
        <v>3.03</v>
      </c>
      <c r="N584" s="282">
        <f t="shared" si="130"/>
        <v>3.0300000000000002</v>
      </c>
      <c r="O584" s="261"/>
      <c r="P584" s="261"/>
      <c r="Q584" s="16">
        <v>2811851180</v>
      </c>
      <c r="R584" t="s">
        <v>1241</v>
      </c>
      <c r="S584" s="343">
        <v>237.82999999999998</v>
      </c>
    </row>
    <row r="585" spans="2:19">
      <c r="B585" s="215">
        <v>2813910047</v>
      </c>
      <c r="E585" s="216">
        <f t="shared" si="127"/>
        <v>0.41000000000000003</v>
      </c>
      <c r="F585" s="216">
        <v>0.31</v>
      </c>
      <c r="G585" s="222" t="s">
        <v>1572</v>
      </c>
      <c r="J585" s="49">
        <f t="shared" si="128"/>
        <v>2813910047</v>
      </c>
      <c r="K585" s="217">
        <f t="shared" si="129"/>
        <v>0.41000000000000003</v>
      </c>
      <c r="L585" s="282">
        <v>0.33</v>
      </c>
      <c r="M585" s="282">
        <f t="shared" si="126"/>
        <v>0.31</v>
      </c>
      <c r="N585" s="282">
        <f t="shared" si="130"/>
        <v>0.3075</v>
      </c>
      <c r="O585" s="261"/>
      <c r="P585" s="261"/>
      <c r="Q585" s="16">
        <v>2811851280</v>
      </c>
      <c r="R585" t="s">
        <v>1242</v>
      </c>
      <c r="S585" s="349">
        <v>235.92</v>
      </c>
    </row>
    <row r="586" spans="2:19">
      <c r="B586" s="215">
        <v>2813910048</v>
      </c>
      <c r="E586" s="216">
        <f t="shared" si="127"/>
        <v>0.44</v>
      </c>
      <c r="F586" s="216">
        <v>0.33</v>
      </c>
      <c r="G586" s="222" t="s">
        <v>1573</v>
      </c>
      <c r="J586" s="49">
        <f t="shared" si="128"/>
        <v>2813910048</v>
      </c>
      <c r="K586" s="217">
        <f t="shared" si="129"/>
        <v>0.44</v>
      </c>
      <c r="L586" s="282">
        <v>0.38</v>
      </c>
      <c r="M586" s="282">
        <f t="shared" si="126"/>
        <v>0.33</v>
      </c>
      <c r="N586" s="282">
        <f t="shared" si="130"/>
        <v>0.33</v>
      </c>
      <c r="O586" s="261"/>
      <c r="P586" s="261"/>
      <c r="Q586" s="16">
        <v>2811900000</v>
      </c>
      <c r="R586" t="s">
        <v>922</v>
      </c>
      <c r="S586" s="349">
        <v>899.27</v>
      </c>
    </row>
    <row r="587" spans="2:19">
      <c r="B587" s="215">
        <v>2813910049</v>
      </c>
      <c r="E587" s="216">
        <f t="shared" si="127"/>
        <v>0.5</v>
      </c>
      <c r="F587" s="216">
        <v>0.38</v>
      </c>
      <c r="G587" s="222" t="s">
        <v>1574</v>
      </c>
      <c r="J587" s="49">
        <f t="shared" si="128"/>
        <v>2813910049</v>
      </c>
      <c r="K587" s="217">
        <f t="shared" si="129"/>
        <v>0.5</v>
      </c>
      <c r="L587" s="282">
        <v>0.71</v>
      </c>
      <c r="M587" s="282">
        <f t="shared" si="126"/>
        <v>0.38</v>
      </c>
      <c r="N587" s="282">
        <f t="shared" si="130"/>
        <v>0.375</v>
      </c>
      <c r="O587" s="261"/>
      <c r="P587" s="261"/>
      <c r="Q587" s="16">
        <v>2811906100</v>
      </c>
      <c r="R587" t="s">
        <v>1568</v>
      </c>
      <c r="S587" s="343">
        <v>909.63</v>
      </c>
    </row>
    <row r="588" spans="2:19">
      <c r="B588" s="215">
        <v>2813910050</v>
      </c>
      <c r="E588" s="216">
        <f t="shared" si="127"/>
        <v>0.9</v>
      </c>
      <c r="F588" s="216">
        <v>0.68</v>
      </c>
      <c r="G588" s="222" t="s">
        <v>1575</v>
      </c>
      <c r="J588" s="49">
        <f t="shared" si="128"/>
        <v>2813910050</v>
      </c>
      <c r="K588" s="217">
        <f t="shared" si="129"/>
        <v>0.9</v>
      </c>
      <c r="L588" s="282">
        <v>0.73</v>
      </c>
      <c r="M588" s="282">
        <f t="shared" si="126"/>
        <v>0.68</v>
      </c>
      <c r="N588" s="282">
        <f t="shared" si="130"/>
        <v>0.67500000000000004</v>
      </c>
      <c r="O588" s="261"/>
      <c r="P588" s="261"/>
      <c r="Q588" s="16">
        <v>2811906200</v>
      </c>
      <c r="R588" s="347" t="s">
        <v>1570</v>
      </c>
      <c r="S588" s="343">
        <v>909.63</v>
      </c>
    </row>
    <row r="589" spans="2:19">
      <c r="B589" s="215">
        <v>2813910051</v>
      </c>
      <c r="E589" s="216">
        <f t="shared" si="127"/>
        <v>0.94</v>
      </c>
      <c r="F589" s="216">
        <v>0.71</v>
      </c>
      <c r="G589" s="222" t="s">
        <v>1576</v>
      </c>
      <c r="J589" s="49">
        <f t="shared" si="128"/>
        <v>2813910051</v>
      </c>
      <c r="K589" s="217">
        <f t="shared" si="129"/>
        <v>0.94</v>
      </c>
      <c r="L589" s="282">
        <v>0.75</v>
      </c>
      <c r="M589" s="282">
        <f t="shared" si="126"/>
        <v>0.71</v>
      </c>
      <c r="N589" s="282">
        <f t="shared" si="130"/>
        <v>0.70499999999999996</v>
      </c>
      <c r="O589" s="261"/>
      <c r="P589" s="261"/>
      <c r="Q589" s="16">
        <v>2811911080</v>
      </c>
      <c r="R589" t="s">
        <v>1243</v>
      </c>
      <c r="S589" s="349">
        <v>280.05</v>
      </c>
    </row>
    <row r="590" spans="2:19">
      <c r="B590" s="215">
        <v>2813910052</v>
      </c>
      <c r="E590" s="216">
        <f t="shared" si="127"/>
        <v>0.97</v>
      </c>
      <c r="F590" s="216">
        <v>0.73</v>
      </c>
      <c r="G590" s="222" t="s">
        <v>1577</v>
      </c>
      <c r="J590" s="49">
        <f t="shared" si="128"/>
        <v>2813910052</v>
      </c>
      <c r="K590" s="217">
        <f t="shared" si="129"/>
        <v>0.97</v>
      </c>
      <c r="L590" s="282">
        <v>0.78</v>
      </c>
      <c r="M590" s="282">
        <f t="shared" si="126"/>
        <v>0.73</v>
      </c>
      <c r="N590" s="282">
        <f t="shared" si="130"/>
        <v>0.72750000000000004</v>
      </c>
      <c r="O590" s="261"/>
      <c r="P590" s="261"/>
      <c r="Q590" s="16">
        <v>2811911180</v>
      </c>
      <c r="R590" t="s">
        <v>1244</v>
      </c>
      <c r="S590" s="343">
        <v>282.33</v>
      </c>
    </row>
    <row r="591" spans="2:19">
      <c r="B591" s="215">
        <v>2813910053</v>
      </c>
      <c r="E591" s="216">
        <f t="shared" si="127"/>
        <v>1.03</v>
      </c>
      <c r="F591" s="216">
        <v>0.77</v>
      </c>
      <c r="G591" s="222" t="s">
        <v>1578</v>
      </c>
      <c r="J591" s="49">
        <f t="shared" si="128"/>
        <v>2813910053</v>
      </c>
      <c r="K591" s="217">
        <f t="shared" si="129"/>
        <v>1.03</v>
      </c>
      <c r="L591" s="282">
        <v>1.7</v>
      </c>
      <c r="M591" s="282">
        <f t="shared" si="126"/>
        <v>0.77</v>
      </c>
      <c r="N591" s="282">
        <f t="shared" si="130"/>
        <v>0.77249999999999996</v>
      </c>
      <c r="O591" s="261"/>
      <c r="P591" s="261"/>
      <c r="Q591" s="16">
        <v>2811911280</v>
      </c>
      <c r="R591" t="s">
        <v>1245</v>
      </c>
      <c r="S591" s="349">
        <v>280.05</v>
      </c>
    </row>
    <row r="592" spans="2:19">
      <c r="B592" s="215">
        <v>2813910054</v>
      </c>
      <c r="E592" s="216">
        <f t="shared" si="127"/>
        <v>2.19</v>
      </c>
      <c r="F592" s="216">
        <v>1.64</v>
      </c>
      <c r="G592" s="222" t="s">
        <v>1579</v>
      </c>
      <c r="J592" s="49">
        <f t="shared" si="128"/>
        <v>2813910054</v>
      </c>
      <c r="K592" s="217">
        <f t="shared" si="129"/>
        <v>2.19</v>
      </c>
      <c r="L592" s="282">
        <v>2.99</v>
      </c>
      <c r="M592" s="282">
        <f t="shared" si="126"/>
        <v>1.64</v>
      </c>
      <c r="N592" s="282">
        <f t="shared" si="130"/>
        <v>1.6425000000000001</v>
      </c>
      <c r="O592" s="261"/>
      <c r="P592" s="261"/>
      <c r="Q592" s="16">
        <v>2811921080</v>
      </c>
      <c r="R592" t="s">
        <v>1246</v>
      </c>
      <c r="S592" s="349">
        <v>308.08</v>
      </c>
    </row>
    <row r="593" spans="2:19">
      <c r="B593" s="215">
        <v>2813910055</v>
      </c>
      <c r="E593" s="216">
        <f t="shared" si="127"/>
        <v>3.84</v>
      </c>
      <c r="F593" s="216">
        <v>2.88</v>
      </c>
      <c r="G593" s="222" t="s">
        <v>1580</v>
      </c>
      <c r="J593" s="49">
        <f t="shared" si="128"/>
        <v>2813910055</v>
      </c>
      <c r="K593" s="217">
        <f t="shared" si="129"/>
        <v>3.84</v>
      </c>
      <c r="L593" s="282">
        <v>1.88</v>
      </c>
      <c r="M593" s="282">
        <f t="shared" si="126"/>
        <v>2.88</v>
      </c>
      <c r="N593" s="282">
        <f t="shared" si="130"/>
        <v>2.88</v>
      </c>
      <c r="O593" s="261"/>
      <c r="P593" s="261"/>
      <c r="Q593" s="16">
        <v>2811921180</v>
      </c>
      <c r="R593" t="s">
        <v>1247</v>
      </c>
      <c r="S593" s="343">
        <v>310.57</v>
      </c>
    </row>
    <row r="594" spans="2:19">
      <c r="B594" s="215">
        <v>2813910056</v>
      </c>
      <c r="E594" s="216">
        <f t="shared" si="127"/>
        <v>2.4299999999999997</v>
      </c>
      <c r="F594" s="216">
        <v>1.82</v>
      </c>
      <c r="G594" s="222" t="s">
        <v>1581</v>
      </c>
      <c r="J594" s="49">
        <f t="shared" si="128"/>
        <v>2813910056</v>
      </c>
      <c r="K594" s="217">
        <f t="shared" si="129"/>
        <v>2.4299999999999997</v>
      </c>
      <c r="L594" s="282">
        <v>2.02</v>
      </c>
      <c r="M594" s="282">
        <f t="shared" si="126"/>
        <v>1.82</v>
      </c>
      <c r="N594" s="282">
        <f t="shared" si="130"/>
        <v>1.8224999999999998</v>
      </c>
      <c r="O594" s="261"/>
      <c r="P594" s="261"/>
      <c r="Q594" s="16">
        <v>2811921280</v>
      </c>
      <c r="R594" t="s">
        <v>1248</v>
      </c>
      <c r="S594" s="349">
        <v>308.08</v>
      </c>
    </row>
    <row r="595" spans="2:19">
      <c r="B595" s="215">
        <v>2813910057</v>
      </c>
      <c r="E595" s="216">
        <f t="shared" si="127"/>
        <v>2.63</v>
      </c>
      <c r="F595" s="216">
        <v>1.97</v>
      </c>
      <c r="G595" s="222" t="s">
        <v>1582</v>
      </c>
      <c r="J595" s="49">
        <f t="shared" si="128"/>
        <v>2813910057</v>
      </c>
      <c r="K595" s="217">
        <f t="shared" si="129"/>
        <v>2.63</v>
      </c>
      <c r="L595" s="282">
        <v>2.33</v>
      </c>
      <c r="M595" s="282">
        <f t="shared" si="126"/>
        <v>1.97</v>
      </c>
      <c r="N595" s="282">
        <f t="shared" si="130"/>
        <v>1.9724999999999999</v>
      </c>
      <c r="O595" s="261"/>
      <c r="P595" s="261"/>
      <c r="Q595" s="16">
        <v>2811941080</v>
      </c>
      <c r="R595" t="s">
        <v>1249</v>
      </c>
      <c r="S595" s="349">
        <v>338.86</v>
      </c>
    </row>
    <row r="596" spans="2:19">
      <c r="B596" s="215">
        <v>2813910058</v>
      </c>
      <c r="E596" s="216">
        <f t="shared" si="127"/>
        <v>3.0399999999999996</v>
      </c>
      <c r="F596" s="216">
        <v>2.2799999999999998</v>
      </c>
      <c r="G596" s="222" t="s">
        <v>1583</v>
      </c>
      <c r="J596" s="49">
        <f t="shared" si="128"/>
        <v>2813910058</v>
      </c>
      <c r="K596" s="217">
        <f t="shared" si="129"/>
        <v>3.0399999999999996</v>
      </c>
      <c r="L596" s="282">
        <v>3.57</v>
      </c>
      <c r="M596" s="282">
        <f t="shared" si="126"/>
        <v>2.2799999999999998</v>
      </c>
      <c r="N596" s="282">
        <f t="shared" si="130"/>
        <v>2.2799999999999998</v>
      </c>
      <c r="O596" s="261"/>
      <c r="P596" s="261"/>
      <c r="Q596" s="16">
        <v>2811941180</v>
      </c>
      <c r="R596" t="s">
        <v>1250</v>
      </c>
      <c r="S596" s="343">
        <v>341.61</v>
      </c>
    </row>
    <row r="597" spans="2:19">
      <c r="B597" s="215">
        <v>2813910059</v>
      </c>
      <c r="E597" s="216">
        <f t="shared" si="127"/>
        <v>4.62</v>
      </c>
      <c r="F597" s="216">
        <v>3.47</v>
      </c>
      <c r="G597" s="222" t="s">
        <v>1584</v>
      </c>
      <c r="J597" s="49">
        <f t="shared" si="128"/>
        <v>2813910059</v>
      </c>
      <c r="K597" s="217">
        <f t="shared" si="129"/>
        <v>4.62</v>
      </c>
      <c r="L597" s="282">
        <v>3.91</v>
      </c>
      <c r="M597" s="282">
        <f t="shared" si="126"/>
        <v>3.47</v>
      </c>
      <c r="N597" s="282">
        <f t="shared" si="130"/>
        <v>3.4649999999999999</v>
      </c>
      <c r="O597" s="261"/>
      <c r="P597" s="261"/>
      <c r="Q597" s="16">
        <v>2811941280</v>
      </c>
      <c r="R597" t="s">
        <v>1251</v>
      </c>
      <c r="S597" s="349">
        <v>338.86</v>
      </c>
    </row>
    <row r="598" spans="2:19">
      <c r="B598" s="215">
        <v>2813910060</v>
      </c>
      <c r="E598" s="216">
        <f t="shared" si="127"/>
        <v>5.05</v>
      </c>
      <c r="F598" s="216">
        <v>3.79</v>
      </c>
      <c r="G598" s="222" t="s">
        <v>1585</v>
      </c>
      <c r="J598" s="49">
        <f t="shared" si="128"/>
        <v>2813910060</v>
      </c>
      <c r="K598" s="217">
        <f t="shared" si="129"/>
        <v>5.05</v>
      </c>
      <c r="L598" s="282">
        <v>3.99</v>
      </c>
      <c r="M598" s="282">
        <f t="shared" si="126"/>
        <v>3.79</v>
      </c>
      <c r="N598" s="282">
        <f t="shared" si="130"/>
        <v>3.7874999999999996</v>
      </c>
      <c r="O598" s="261"/>
      <c r="P598" s="261"/>
      <c r="Q598" s="16">
        <v>2811951080</v>
      </c>
      <c r="R598" t="s">
        <v>1252</v>
      </c>
      <c r="S598" s="349">
        <v>372.77</v>
      </c>
    </row>
    <row r="599" spans="2:19">
      <c r="B599" s="215">
        <v>2813910061</v>
      </c>
      <c r="E599" s="216">
        <f t="shared" si="127"/>
        <v>5.14</v>
      </c>
      <c r="F599" s="216">
        <v>3.86</v>
      </c>
      <c r="G599" s="222" t="s">
        <v>1586</v>
      </c>
      <c r="J599" s="49">
        <f t="shared" si="128"/>
        <v>2813910061</v>
      </c>
      <c r="K599" s="217">
        <f t="shared" si="129"/>
        <v>5.14</v>
      </c>
      <c r="L599" s="282">
        <v>2.71</v>
      </c>
      <c r="M599" s="282">
        <f t="shared" si="126"/>
        <v>3.86</v>
      </c>
      <c r="N599" s="282">
        <f t="shared" si="130"/>
        <v>3.8549999999999995</v>
      </c>
      <c r="O599" s="261"/>
      <c r="P599" s="261"/>
      <c r="Q599" s="16">
        <v>2811951180</v>
      </c>
      <c r="R599" t="s">
        <v>1253</v>
      </c>
      <c r="S599" s="343">
        <v>375.78</v>
      </c>
    </row>
    <row r="600" spans="2:19">
      <c r="B600" s="215">
        <v>2813910062</v>
      </c>
      <c r="E600" s="216">
        <f t="shared" si="127"/>
        <v>3.51</v>
      </c>
      <c r="F600" s="216">
        <v>2.63</v>
      </c>
      <c r="G600" s="222" t="s">
        <v>1587</v>
      </c>
      <c r="J600" s="49">
        <f t="shared" si="128"/>
        <v>2813910062</v>
      </c>
      <c r="K600" s="217">
        <f t="shared" si="129"/>
        <v>3.51</v>
      </c>
      <c r="L600" s="282">
        <v>2.12</v>
      </c>
      <c r="M600" s="282">
        <f t="shared" si="126"/>
        <v>2.63</v>
      </c>
      <c r="N600" s="282">
        <f t="shared" si="130"/>
        <v>2.6324999999999998</v>
      </c>
      <c r="O600" s="261"/>
      <c r="P600" s="261"/>
      <c r="Q600" s="16">
        <v>2811951280</v>
      </c>
      <c r="R600" t="s">
        <v>1254</v>
      </c>
      <c r="S600" s="349">
        <v>372.77</v>
      </c>
    </row>
    <row r="601" spans="2:19">
      <c r="B601" s="215">
        <v>2813910063</v>
      </c>
      <c r="E601" s="216">
        <f t="shared" si="127"/>
        <v>2.7399999999999998</v>
      </c>
      <c r="F601" s="216">
        <v>2.06</v>
      </c>
      <c r="G601" s="222" t="s">
        <v>1588</v>
      </c>
      <c r="J601" s="49">
        <f t="shared" si="128"/>
        <v>2813910063</v>
      </c>
      <c r="K601" s="217">
        <f t="shared" si="129"/>
        <v>2.7399999999999998</v>
      </c>
      <c r="L601" s="282">
        <v>2.75</v>
      </c>
      <c r="M601" s="282">
        <f t="shared" si="126"/>
        <v>2.06</v>
      </c>
      <c r="N601" s="282">
        <f t="shared" si="130"/>
        <v>2.0549999999999997</v>
      </c>
      <c r="O601" s="261"/>
      <c r="P601" s="261"/>
      <c r="Q601" s="345">
        <v>2812002980</v>
      </c>
      <c r="R601" s="49" t="s">
        <v>924</v>
      </c>
      <c r="S601" s="349">
        <v>19.8</v>
      </c>
    </row>
    <row r="602" spans="2:19">
      <c r="B602" s="215">
        <v>2813910064</v>
      </c>
      <c r="E602" s="216">
        <f t="shared" si="127"/>
        <v>3.5599999999999996</v>
      </c>
      <c r="F602" s="216">
        <v>2.67</v>
      </c>
      <c r="G602" s="222" t="s">
        <v>1589</v>
      </c>
      <c r="J602" s="49">
        <f t="shared" si="128"/>
        <v>2813910064</v>
      </c>
      <c r="K602" s="217">
        <f t="shared" si="129"/>
        <v>3.5599999999999996</v>
      </c>
      <c r="L602" s="282">
        <v>2.71</v>
      </c>
      <c r="M602" s="282">
        <f t="shared" si="126"/>
        <v>2.67</v>
      </c>
      <c r="N602" s="282">
        <f t="shared" si="130"/>
        <v>2.67</v>
      </c>
      <c r="O602" s="261"/>
      <c r="P602" s="261"/>
      <c r="Q602" s="16">
        <v>2812003001</v>
      </c>
      <c r="R602" t="s">
        <v>923</v>
      </c>
      <c r="S602" s="349">
        <v>1719.27</v>
      </c>
    </row>
    <row r="603" spans="2:19">
      <c r="B603" s="215">
        <v>2813910065</v>
      </c>
      <c r="E603" s="216">
        <f t="shared" si="127"/>
        <v>3.51</v>
      </c>
      <c r="F603" s="216">
        <v>2.63</v>
      </c>
      <c r="G603" s="222" t="s">
        <v>1590</v>
      </c>
      <c r="J603" s="49">
        <f t="shared" si="128"/>
        <v>2813910065</v>
      </c>
      <c r="K603" s="217">
        <f t="shared" si="129"/>
        <v>3.51</v>
      </c>
      <c r="L603" s="282">
        <v>5.36</v>
      </c>
      <c r="M603" s="282">
        <f t="shared" si="126"/>
        <v>2.63</v>
      </c>
      <c r="N603" s="282">
        <f t="shared" si="130"/>
        <v>2.6324999999999998</v>
      </c>
      <c r="O603" s="261"/>
      <c r="P603" s="261"/>
      <c r="Q603" s="345">
        <v>2812004000</v>
      </c>
      <c r="R603" s="49" t="s">
        <v>925</v>
      </c>
      <c r="S603" s="349">
        <v>189.6</v>
      </c>
    </row>
    <row r="604" spans="2:19">
      <c r="B604" s="215">
        <v>2813910066</v>
      </c>
      <c r="E604" s="216">
        <f t="shared" si="127"/>
        <v>6.9399999999999995</v>
      </c>
      <c r="F604" s="216">
        <v>5.21</v>
      </c>
      <c r="G604" s="222" t="s">
        <v>1591</v>
      </c>
      <c r="J604" s="49">
        <f t="shared" si="128"/>
        <v>2813910066</v>
      </c>
      <c r="K604" s="217">
        <f t="shared" si="129"/>
        <v>6.9399999999999995</v>
      </c>
      <c r="L604" s="282">
        <v>4.87</v>
      </c>
      <c r="M604" s="282">
        <f t="shared" si="126"/>
        <v>5.21</v>
      </c>
      <c r="N604" s="282">
        <f t="shared" si="130"/>
        <v>5.2050000000000001</v>
      </c>
      <c r="O604" s="261"/>
      <c r="P604" s="261"/>
      <c r="Q604" s="345">
        <v>2812004600</v>
      </c>
      <c r="R604" s="49" t="s">
        <v>926</v>
      </c>
      <c r="S604" s="349">
        <v>416.93</v>
      </c>
    </row>
    <row r="605" spans="2:19">
      <c r="B605" s="215">
        <v>2813910067</v>
      </c>
      <c r="E605" s="216">
        <f t="shared" si="127"/>
        <v>6.3</v>
      </c>
      <c r="F605" s="216">
        <v>4.7300000000000004</v>
      </c>
      <c r="G605" s="222" t="s">
        <v>1592</v>
      </c>
      <c r="J605" s="49">
        <f t="shared" si="128"/>
        <v>2813910067</v>
      </c>
      <c r="K605" s="217">
        <f t="shared" si="129"/>
        <v>6.3</v>
      </c>
      <c r="L605" s="282">
        <v>1.56</v>
      </c>
      <c r="M605" s="282">
        <f t="shared" si="126"/>
        <v>4.7300000000000004</v>
      </c>
      <c r="N605" s="282">
        <f t="shared" si="130"/>
        <v>4.7249999999999996</v>
      </c>
      <c r="O605" s="261"/>
      <c r="P605" s="261"/>
      <c r="Q605" s="345">
        <v>2812004601</v>
      </c>
      <c r="R605" s="49" t="s">
        <v>927</v>
      </c>
      <c r="S605" s="343">
        <v>613.66</v>
      </c>
    </row>
    <row r="606" spans="2:19">
      <c r="B606" s="215">
        <v>2813910068</v>
      </c>
      <c r="E606" s="216">
        <f t="shared" si="127"/>
        <v>2.0299999999999998</v>
      </c>
      <c r="F606" s="216">
        <v>1.52</v>
      </c>
      <c r="G606" s="222" t="s">
        <v>1593</v>
      </c>
      <c r="J606" s="49">
        <f t="shared" si="128"/>
        <v>2813910068</v>
      </c>
      <c r="K606" s="217">
        <f t="shared" si="129"/>
        <v>2.0299999999999998</v>
      </c>
      <c r="L606" s="282">
        <v>1.74</v>
      </c>
      <c r="M606" s="282">
        <f t="shared" si="126"/>
        <v>1.52</v>
      </c>
      <c r="N606" s="282">
        <f t="shared" si="130"/>
        <v>1.5225</v>
      </c>
      <c r="O606" s="261"/>
      <c r="P606" s="261"/>
      <c r="Q606" s="345">
        <v>2812004602</v>
      </c>
      <c r="R606" s="49" t="s">
        <v>928</v>
      </c>
      <c r="S606" s="349">
        <v>6.99</v>
      </c>
    </row>
    <row r="607" spans="2:19">
      <c r="B607" s="215">
        <v>2813910069</v>
      </c>
      <c r="E607" s="216">
        <f t="shared" si="127"/>
        <v>2.2599999999999998</v>
      </c>
      <c r="F607" s="216">
        <v>1.7</v>
      </c>
      <c r="G607" s="222" t="s">
        <v>1594</v>
      </c>
      <c r="J607" s="49">
        <f t="shared" si="128"/>
        <v>2813910069</v>
      </c>
      <c r="K607" s="217">
        <f t="shared" si="129"/>
        <v>2.2599999999999998</v>
      </c>
      <c r="L607" s="282">
        <v>1.64</v>
      </c>
      <c r="M607" s="282">
        <f t="shared" si="126"/>
        <v>1.7</v>
      </c>
      <c r="N607" s="282">
        <f t="shared" si="130"/>
        <v>1.6949999999999998</v>
      </c>
      <c r="O607" s="261"/>
      <c r="P607" s="261"/>
      <c r="Q607" s="345">
        <v>2812004603</v>
      </c>
      <c r="R607" s="49" t="s">
        <v>929</v>
      </c>
      <c r="S607" s="349">
        <v>6.96</v>
      </c>
    </row>
    <row r="608" spans="2:19">
      <c r="B608" s="215">
        <v>2813910070</v>
      </c>
      <c r="E608" s="216">
        <f t="shared" si="127"/>
        <v>2.11</v>
      </c>
      <c r="F608" s="216">
        <v>1.58</v>
      </c>
      <c r="G608" s="222" t="s">
        <v>1595</v>
      </c>
      <c r="J608" s="49">
        <f t="shared" si="128"/>
        <v>2813910070</v>
      </c>
      <c r="K608" s="217">
        <f t="shared" si="129"/>
        <v>2.11</v>
      </c>
      <c r="L608" s="282">
        <v>1.47</v>
      </c>
      <c r="M608" s="282">
        <f t="shared" ref="M608:M671" si="131">ROUND(N608,2)</f>
        <v>1.58</v>
      </c>
      <c r="N608" s="282">
        <f t="shared" si="130"/>
        <v>1.5825</v>
      </c>
      <c r="O608" s="261"/>
      <c r="P608" s="261"/>
      <c r="Q608" s="345">
        <v>2812012801</v>
      </c>
      <c r="R608" s="49" t="s">
        <v>930</v>
      </c>
      <c r="S608" s="349">
        <v>5238.13</v>
      </c>
    </row>
    <row r="609" spans="2:19">
      <c r="B609" s="215">
        <v>2813910071</v>
      </c>
      <c r="E609" s="216">
        <f t="shared" si="127"/>
        <v>1.88</v>
      </c>
      <c r="F609" s="216">
        <v>1.41</v>
      </c>
      <c r="G609" s="222" t="s">
        <v>1597</v>
      </c>
      <c r="J609" s="49">
        <f t="shared" si="128"/>
        <v>2813910071</v>
      </c>
      <c r="K609" s="217">
        <f t="shared" si="129"/>
        <v>1.88</v>
      </c>
      <c r="L609" s="282">
        <v>2.88</v>
      </c>
      <c r="M609" s="282">
        <f t="shared" si="131"/>
        <v>1.41</v>
      </c>
      <c r="N609" s="282">
        <f t="shared" si="130"/>
        <v>1.41</v>
      </c>
      <c r="O609" s="261"/>
      <c r="P609" s="261"/>
      <c r="Q609" s="345">
        <v>2812014000</v>
      </c>
      <c r="R609" s="49" t="s">
        <v>931</v>
      </c>
      <c r="S609" s="349">
        <v>45.54</v>
      </c>
    </row>
    <row r="610" spans="2:19">
      <c r="B610" s="215">
        <v>2813910072</v>
      </c>
      <c r="E610" s="216">
        <f t="shared" si="127"/>
        <v>3.7199999999999998</v>
      </c>
      <c r="F610" s="216">
        <v>2.79</v>
      </c>
      <c r="G610" s="222" t="s">
        <v>1599</v>
      </c>
      <c r="J610" s="49">
        <f t="shared" si="128"/>
        <v>2813910072</v>
      </c>
      <c r="K610" s="217">
        <f t="shared" si="129"/>
        <v>3.7199999999999998</v>
      </c>
      <c r="L610" s="282">
        <v>1.9</v>
      </c>
      <c r="M610" s="282">
        <f t="shared" si="131"/>
        <v>2.79</v>
      </c>
      <c r="N610" s="282">
        <f t="shared" si="130"/>
        <v>2.79</v>
      </c>
      <c r="O610" s="261"/>
      <c r="P610" s="261"/>
      <c r="Q610" s="16">
        <v>2812017200</v>
      </c>
      <c r="R610" t="s">
        <v>932</v>
      </c>
      <c r="S610" s="349">
        <v>55.65</v>
      </c>
    </row>
    <row r="611" spans="2:19">
      <c r="B611" s="215">
        <v>2813910073</v>
      </c>
      <c r="E611" s="216">
        <f t="shared" si="127"/>
        <v>2.46</v>
      </c>
      <c r="F611" s="216">
        <v>1.85</v>
      </c>
      <c r="G611" s="222" t="s">
        <v>1600</v>
      </c>
      <c r="J611" s="49">
        <f t="shared" si="128"/>
        <v>2813910073</v>
      </c>
      <c r="K611" s="217">
        <f t="shared" si="129"/>
        <v>2.46</v>
      </c>
      <c r="L611" s="282">
        <v>2.39</v>
      </c>
      <c r="M611" s="282">
        <f t="shared" si="131"/>
        <v>1.85</v>
      </c>
      <c r="N611" s="282">
        <f t="shared" si="130"/>
        <v>1.845</v>
      </c>
      <c r="O611" s="261"/>
      <c r="P611" s="261"/>
      <c r="Q611" s="16">
        <v>2812022800</v>
      </c>
      <c r="R611" t="s">
        <v>933</v>
      </c>
      <c r="S611" s="343">
        <v>366.53</v>
      </c>
    </row>
    <row r="612" spans="2:19">
      <c r="B612" s="215">
        <v>2813910074</v>
      </c>
      <c r="E612" s="216">
        <f t="shared" si="127"/>
        <v>3.11</v>
      </c>
      <c r="F612" s="216">
        <v>2.33</v>
      </c>
      <c r="G612" s="222" t="s">
        <v>1601</v>
      </c>
      <c r="J612" s="49">
        <f t="shared" si="128"/>
        <v>2813910074</v>
      </c>
      <c r="K612" s="217">
        <f t="shared" si="129"/>
        <v>3.11</v>
      </c>
      <c r="L612" s="282">
        <v>3.41</v>
      </c>
      <c r="M612" s="282">
        <f t="shared" si="131"/>
        <v>2.33</v>
      </c>
      <c r="N612" s="282">
        <f t="shared" si="130"/>
        <v>2.3325</v>
      </c>
      <c r="O612" s="261"/>
      <c r="P612" s="261"/>
      <c r="Q612" s="16">
        <v>2812024080</v>
      </c>
      <c r="R612" t="s">
        <v>935</v>
      </c>
      <c r="S612" s="349">
        <v>2383.0600000000004</v>
      </c>
    </row>
    <row r="613" spans="2:19">
      <c r="B613" s="215">
        <v>2813910075</v>
      </c>
      <c r="E613" s="216">
        <f t="shared" si="127"/>
        <v>4.4000000000000004</v>
      </c>
      <c r="F613" s="216">
        <v>3.3</v>
      </c>
      <c r="G613" s="222" t="s">
        <v>1602</v>
      </c>
      <c r="J613" s="49">
        <f t="shared" si="128"/>
        <v>2813910075</v>
      </c>
      <c r="K613" s="217">
        <f t="shared" si="129"/>
        <v>4.4000000000000004</v>
      </c>
      <c r="L613" s="282">
        <v>1.7</v>
      </c>
      <c r="M613" s="282">
        <f t="shared" si="131"/>
        <v>3.3</v>
      </c>
      <c r="N613" s="282">
        <f t="shared" si="130"/>
        <v>3.3000000000000003</v>
      </c>
      <c r="O613" s="261"/>
      <c r="P613" s="261"/>
      <c r="Q613" s="16">
        <v>2812024081</v>
      </c>
      <c r="R613" t="s">
        <v>934</v>
      </c>
      <c r="S613" s="349">
        <v>1314.39</v>
      </c>
    </row>
    <row r="614" spans="2:19">
      <c r="B614" s="215">
        <v>2813910076</v>
      </c>
      <c r="E614" s="216">
        <f t="shared" si="127"/>
        <v>2.19</v>
      </c>
      <c r="F614" s="216">
        <v>1.64</v>
      </c>
      <c r="G614" s="222" t="s">
        <v>1603</v>
      </c>
      <c r="J614" s="49">
        <f t="shared" si="128"/>
        <v>2813910076</v>
      </c>
      <c r="K614" s="217">
        <f t="shared" si="129"/>
        <v>2.19</v>
      </c>
      <c r="L614" s="282">
        <v>2.12</v>
      </c>
      <c r="M614" s="282">
        <f t="shared" si="131"/>
        <v>1.64</v>
      </c>
      <c r="N614" s="282">
        <f t="shared" si="130"/>
        <v>1.6425000000000001</v>
      </c>
      <c r="O614" s="261"/>
      <c r="P614" s="261"/>
      <c r="Q614" s="16">
        <v>2812027200</v>
      </c>
      <c r="R614" t="s">
        <v>936</v>
      </c>
      <c r="S614" s="349">
        <v>8.35</v>
      </c>
    </row>
    <row r="615" spans="2:19">
      <c r="B615" s="215">
        <v>2813910077</v>
      </c>
      <c r="E615" s="216">
        <f t="shared" si="127"/>
        <v>2.73</v>
      </c>
      <c r="F615" s="216">
        <v>2.0499999999999998</v>
      </c>
      <c r="G615" s="222" t="s">
        <v>1604</v>
      </c>
      <c r="J615" s="49">
        <f t="shared" si="128"/>
        <v>2813910077</v>
      </c>
      <c r="K615" s="217">
        <f t="shared" si="129"/>
        <v>2.73</v>
      </c>
      <c r="L615" s="282">
        <v>3.71</v>
      </c>
      <c r="M615" s="282">
        <f t="shared" si="131"/>
        <v>2.0499999999999998</v>
      </c>
      <c r="N615" s="282">
        <f t="shared" si="130"/>
        <v>2.0474999999999999</v>
      </c>
      <c r="O615" s="261"/>
      <c r="P615" s="261"/>
      <c r="Q615" s="16">
        <v>2812032801</v>
      </c>
      <c r="R615" t="s">
        <v>937</v>
      </c>
      <c r="S615" s="349">
        <v>235.01999999999998</v>
      </c>
    </row>
    <row r="616" spans="2:19">
      <c r="B616" s="215">
        <v>2813910078</v>
      </c>
      <c r="E616" s="216">
        <f t="shared" si="127"/>
        <v>4.8</v>
      </c>
      <c r="F616" s="216">
        <v>3.6</v>
      </c>
      <c r="G616" s="222" t="s">
        <v>1605</v>
      </c>
      <c r="J616" s="49">
        <f t="shared" si="128"/>
        <v>2813910078</v>
      </c>
      <c r="K616" s="217">
        <f t="shared" si="129"/>
        <v>4.8</v>
      </c>
      <c r="L616" s="282">
        <v>2.85</v>
      </c>
      <c r="M616" s="282">
        <f t="shared" si="131"/>
        <v>3.6</v>
      </c>
      <c r="N616" s="282">
        <f t="shared" si="130"/>
        <v>3.5999999999999996</v>
      </c>
      <c r="O616" s="261"/>
      <c r="P616" s="261"/>
      <c r="Q616" s="16">
        <v>2812034000</v>
      </c>
      <c r="R616" t="s">
        <v>938</v>
      </c>
      <c r="S616" s="343">
        <v>2435.11</v>
      </c>
    </row>
    <row r="617" spans="2:19">
      <c r="B617" s="215">
        <v>2813910079</v>
      </c>
      <c r="E617" s="216">
        <f t="shared" si="127"/>
        <v>3.6999999999999997</v>
      </c>
      <c r="F617" s="216">
        <v>2.78</v>
      </c>
      <c r="G617" s="222" t="s">
        <v>1606</v>
      </c>
      <c r="J617" s="49">
        <f t="shared" si="128"/>
        <v>2813910079</v>
      </c>
      <c r="K617" s="217">
        <f t="shared" si="129"/>
        <v>3.6999999999999997</v>
      </c>
      <c r="L617" s="282">
        <v>4.3099999999999996</v>
      </c>
      <c r="M617" s="282">
        <f t="shared" si="131"/>
        <v>2.78</v>
      </c>
      <c r="N617" s="282">
        <f t="shared" si="130"/>
        <v>2.7749999999999999</v>
      </c>
      <c r="O617" s="261"/>
      <c r="P617" s="261"/>
      <c r="Q617" s="345">
        <v>2812034080</v>
      </c>
      <c r="R617" t="s">
        <v>939</v>
      </c>
      <c r="S617" s="349">
        <v>2362.11</v>
      </c>
    </row>
    <row r="618" spans="2:19">
      <c r="B618" s="215">
        <v>2813910080</v>
      </c>
      <c r="E618" s="216">
        <f t="shared" ref="E618:E681" si="132">VLOOKUP(B618,$Q$14:$S$1164,3,FALSE)</f>
        <v>5.59</v>
      </c>
      <c r="F618" s="216">
        <v>4.1900000000000004</v>
      </c>
      <c r="G618" s="222" t="s">
        <v>1607</v>
      </c>
      <c r="J618" s="49">
        <f t="shared" ref="J618:J681" si="133">B618*$K$13</f>
        <v>2813910080</v>
      </c>
      <c r="K618" s="217">
        <f t="shared" ref="K618:K681" si="134">VLOOKUP(J618,$Q$14:$S$1164,3,FALSE)</f>
        <v>5.59</v>
      </c>
      <c r="L618" s="282">
        <v>2.02</v>
      </c>
      <c r="M618" s="282">
        <f t="shared" si="131"/>
        <v>4.1900000000000004</v>
      </c>
      <c r="N618" s="282">
        <f t="shared" ref="N618:N681" si="135">K618*$N$13</f>
        <v>4.1924999999999999</v>
      </c>
      <c r="O618" s="261"/>
      <c r="P618" s="261"/>
      <c r="Q618" s="345">
        <v>2812034081</v>
      </c>
      <c r="R618" t="s">
        <v>938</v>
      </c>
      <c r="S618" s="349">
        <v>1378.62</v>
      </c>
    </row>
    <row r="619" spans="2:19">
      <c r="B619" s="215">
        <v>2813910081</v>
      </c>
      <c r="E619" s="216">
        <f t="shared" si="132"/>
        <v>2.6199999999999997</v>
      </c>
      <c r="F619" s="216">
        <v>1.97</v>
      </c>
      <c r="G619" s="222" t="s">
        <v>1608</v>
      </c>
      <c r="J619" s="49">
        <f t="shared" si="133"/>
        <v>2813910081</v>
      </c>
      <c r="K619" s="217">
        <f t="shared" si="134"/>
        <v>2.6199999999999997</v>
      </c>
      <c r="L619" s="282">
        <v>2.8</v>
      </c>
      <c r="M619" s="282">
        <f t="shared" si="131"/>
        <v>1.97</v>
      </c>
      <c r="N619" s="282">
        <f t="shared" si="135"/>
        <v>1.9649999999999999</v>
      </c>
      <c r="O619" s="261"/>
      <c r="P619" s="261"/>
      <c r="Q619" s="16">
        <v>2812037200</v>
      </c>
      <c r="R619" t="s">
        <v>940</v>
      </c>
      <c r="S619" s="349">
        <v>8.35</v>
      </c>
    </row>
    <row r="620" spans="2:19">
      <c r="B620" s="215">
        <v>2813910082</v>
      </c>
      <c r="E620" s="216">
        <f t="shared" si="132"/>
        <v>3.63</v>
      </c>
      <c r="F620" s="216">
        <v>2.72</v>
      </c>
      <c r="G620" s="222" t="s">
        <v>1609</v>
      </c>
      <c r="J620" s="49">
        <f t="shared" si="133"/>
        <v>2813910082</v>
      </c>
      <c r="K620" s="217">
        <f t="shared" si="134"/>
        <v>3.63</v>
      </c>
      <c r="L620" s="282">
        <v>4.17</v>
      </c>
      <c r="M620" s="282">
        <f t="shared" si="131"/>
        <v>2.72</v>
      </c>
      <c r="N620" s="282">
        <f t="shared" si="135"/>
        <v>2.7225000000000001</v>
      </c>
      <c r="O620" s="261"/>
      <c r="P620" s="261"/>
      <c r="Q620" s="16">
        <v>2812042801</v>
      </c>
      <c r="R620" t="s">
        <v>941</v>
      </c>
      <c r="S620" s="349">
        <v>395.93</v>
      </c>
    </row>
    <row r="621" spans="2:19">
      <c r="B621" s="215">
        <v>2813910083</v>
      </c>
      <c r="E621" s="216">
        <f t="shared" si="132"/>
        <v>5.39</v>
      </c>
      <c r="F621" s="216">
        <v>4.04</v>
      </c>
      <c r="G621" s="222" t="s">
        <v>1610</v>
      </c>
      <c r="J621" s="49">
        <f t="shared" si="133"/>
        <v>2813910083</v>
      </c>
      <c r="K621" s="217">
        <f t="shared" si="134"/>
        <v>5.39</v>
      </c>
      <c r="L621" s="282">
        <v>8.6199999999999992</v>
      </c>
      <c r="M621" s="282">
        <f t="shared" si="131"/>
        <v>4.04</v>
      </c>
      <c r="N621" s="282">
        <f t="shared" si="135"/>
        <v>4.0424999999999995</v>
      </c>
      <c r="O621" s="261"/>
      <c r="P621" s="261"/>
      <c r="Q621" s="16">
        <v>2812064000</v>
      </c>
      <c r="R621" t="s">
        <v>942</v>
      </c>
      <c r="S621" s="349">
        <v>105.41000000000001</v>
      </c>
    </row>
    <row r="622" spans="2:19">
      <c r="B622" s="215">
        <v>2813910084</v>
      </c>
      <c r="E622" s="216">
        <f t="shared" si="132"/>
        <v>11.12</v>
      </c>
      <c r="F622" s="216">
        <v>8.34</v>
      </c>
      <c r="G622" s="222" t="s">
        <v>1611</v>
      </c>
      <c r="J622" s="49">
        <f t="shared" si="133"/>
        <v>2813910084</v>
      </c>
      <c r="K622" s="217">
        <f t="shared" si="134"/>
        <v>11.12</v>
      </c>
      <c r="L622" s="282">
        <v>8.6199999999999992</v>
      </c>
      <c r="M622" s="282">
        <f t="shared" si="131"/>
        <v>8.34</v>
      </c>
      <c r="N622" s="282">
        <f t="shared" si="135"/>
        <v>8.34</v>
      </c>
      <c r="O622" s="261"/>
      <c r="P622" s="261"/>
      <c r="Q622" s="345">
        <v>2812074000</v>
      </c>
      <c r="R622" s="49" t="s">
        <v>943</v>
      </c>
      <c r="S622" s="349">
        <v>337.65999999999997</v>
      </c>
    </row>
    <row r="623" spans="2:19">
      <c r="B623" s="215">
        <v>2813910085</v>
      </c>
      <c r="E623" s="216">
        <f t="shared" si="132"/>
        <v>11.12</v>
      </c>
      <c r="F623" s="216">
        <v>8.34</v>
      </c>
      <c r="G623" s="222" t="s">
        <v>1612</v>
      </c>
      <c r="J623" s="49">
        <f t="shared" si="133"/>
        <v>2813910085</v>
      </c>
      <c r="K623" s="217">
        <f t="shared" si="134"/>
        <v>11.12</v>
      </c>
      <c r="L623" s="282">
        <v>9.2799999999999994</v>
      </c>
      <c r="M623" s="282">
        <f t="shared" si="131"/>
        <v>8.34</v>
      </c>
      <c r="N623" s="282">
        <f t="shared" si="135"/>
        <v>8.34</v>
      </c>
      <c r="O623" s="261"/>
      <c r="P623" s="261"/>
      <c r="Q623" s="16">
        <v>2812084000</v>
      </c>
      <c r="R623" t="s">
        <v>944</v>
      </c>
      <c r="S623" s="349">
        <v>319.7</v>
      </c>
    </row>
    <row r="624" spans="2:19">
      <c r="B624" s="215">
        <v>2813910086</v>
      </c>
      <c r="E624" s="216">
        <f t="shared" si="132"/>
        <v>11.97</v>
      </c>
      <c r="F624" s="216">
        <v>8.98</v>
      </c>
      <c r="G624" s="222" t="s">
        <v>1613</v>
      </c>
      <c r="J624" s="49">
        <f t="shared" si="133"/>
        <v>2813910086</v>
      </c>
      <c r="K624" s="217">
        <f t="shared" si="134"/>
        <v>11.97</v>
      </c>
      <c r="L624" s="282">
        <v>8.84</v>
      </c>
      <c r="M624" s="282">
        <f t="shared" si="131"/>
        <v>8.98</v>
      </c>
      <c r="N624" s="282">
        <f t="shared" si="135"/>
        <v>8.9775000000000009</v>
      </c>
      <c r="O624" s="261"/>
      <c r="P624" s="261"/>
      <c r="Q624" s="16">
        <v>2812094000</v>
      </c>
      <c r="R624" t="s">
        <v>945</v>
      </c>
      <c r="S624" s="349">
        <v>204.42</v>
      </c>
    </row>
    <row r="625" spans="2:19">
      <c r="B625" s="215">
        <v>2813910087</v>
      </c>
      <c r="E625" s="216">
        <f t="shared" si="132"/>
        <v>11.42</v>
      </c>
      <c r="F625" s="216">
        <v>8.57</v>
      </c>
      <c r="G625" s="222" t="s">
        <v>1614</v>
      </c>
      <c r="J625" s="49">
        <f t="shared" si="133"/>
        <v>2813910087</v>
      </c>
      <c r="K625" s="217">
        <f t="shared" si="134"/>
        <v>11.42</v>
      </c>
      <c r="L625" s="282">
        <v>8.84</v>
      </c>
      <c r="M625" s="282">
        <f t="shared" si="131"/>
        <v>8.57</v>
      </c>
      <c r="N625" s="282">
        <f t="shared" si="135"/>
        <v>8.5649999999999995</v>
      </c>
      <c r="O625" s="261"/>
      <c r="P625" s="261"/>
      <c r="Q625" s="16">
        <v>2812100000</v>
      </c>
      <c r="R625" t="s">
        <v>1596</v>
      </c>
      <c r="S625" s="349">
        <v>119.14</v>
      </c>
    </row>
    <row r="626" spans="2:19">
      <c r="B626" s="215">
        <v>2813910088</v>
      </c>
      <c r="E626" s="216">
        <f t="shared" si="132"/>
        <v>11.42</v>
      </c>
      <c r="F626" s="216">
        <v>8.57</v>
      </c>
      <c r="G626" s="222" t="s">
        <v>1615</v>
      </c>
      <c r="J626" s="49">
        <f t="shared" si="133"/>
        <v>2813910088</v>
      </c>
      <c r="K626" s="217">
        <f t="shared" si="134"/>
        <v>11.42</v>
      </c>
      <c r="L626" s="282">
        <v>9.5</v>
      </c>
      <c r="M626" s="282">
        <f t="shared" si="131"/>
        <v>8.57</v>
      </c>
      <c r="N626" s="282">
        <f t="shared" si="135"/>
        <v>8.5649999999999995</v>
      </c>
      <c r="O626" s="261"/>
      <c r="P626" s="261"/>
      <c r="Q626" s="16">
        <v>2812100100</v>
      </c>
      <c r="R626" t="s">
        <v>1598</v>
      </c>
      <c r="S626" s="349">
        <v>166.78</v>
      </c>
    </row>
    <row r="627" spans="2:19">
      <c r="B627" s="215">
        <v>2813910089</v>
      </c>
      <c r="E627" s="216">
        <f t="shared" si="132"/>
        <v>12.25</v>
      </c>
      <c r="F627" s="216">
        <v>9.19</v>
      </c>
      <c r="G627" s="222" t="s">
        <v>1616</v>
      </c>
      <c r="J627" s="49">
        <f t="shared" si="133"/>
        <v>2813910089</v>
      </c>
      <c r="K627" s="217">
        <f t="shared" si="134"/>
        <v>12.25</v>
      </c>
      <c r="L627" s="282">
        <v>8.84</v>
      </c>
      <c r="M627" s="282">
        <f t="shared" si="131"/>
        <v>9.19</v>
      </c>
      <c r="N627" s="282">
        <f t="shared" si="135"/>
        <v>9.1875</v>
      </c>
      <c r="O627" s="261"/>
      <c r="P627" s="261"/>
      <c r="Q627" s="345">
        <v>2812100200</v>
      </c>
      <c r="R627" s="49" t="s">
        <v>948</v>
      </c>
      <c r="S627" s="349">
        <v>34.839999999999996</v>
      </c>
    </row>
    <row r="628" spans="2:19">
      <c r="B628" s="215">
        <v>2813910090</v>
      </c>
      <c r="E628" s="216">
        <f t="shared" si="132"/>
        <v>11.42</v>
      </c>
      <c r="F628" s="216">
        <v>8.57</v>
      </c>
      <c r="G628" s="222" t="s">
        <v>1617</v>
      </c>
      <c r="J628" s="49">
        <f t="shared" si="133"/>
        <v>2813910090</v>
      </c>
      <c r="K628" s="217">
        <f t="shared" si="134"/>
        <v>11.42</v>
      </c>
      <c r="L628" s="282">
        <v>8.84</v>
      </c>
      <c r="M628" s="282">
        <f t="shared" si="131"/>
        <v>8.57</v>
      </c>
      <c r="N628" s="282">
        <f t="shared" si="135"/>
        <v>8.5649999999999995</v>
      </c>
      <c r="O628" s="261"/>
      <c r="P628" s="261"/>
      <c r="Q628" s="345">
        <v>2812100300</v>
      </c>
      <c r="R628" s="49" t="s">
        <v>949</v>
      </c>
      <c r="S628" s="349">
        <v>34.839999999999996</v>
      </c>
    </row>
    <row r="629" spans="2:19">
      <c r="B629" s="215">
        <v>2813910091</v>
      </c>
      <c r="E629" s="216">
        <f t="shared" si="132"/>
        <v>11.42</v>
      </c>
      <c r="F629" s="216">
        <v>8.57</v>
      </c>
      <c r="G629" s="222" t="s">
        <v>1618</v>
      </c>
      <c r="J629" s="49">
        <f t="shared" si="133"/>
        <v>2813910091</v>
      </c>
      <c r="K629" s="217">
        <f t="shared" si="134"/>
        <v>11.42</v>
      </c>
      <c r="L629" s="282">
        <v>8.84</v>
      </c>
      <c r="M629" s="282">
        <f t="shared" si="131"/>
        <v>8.57</v>
      </c>
      <c r="N629" s="282">
        <f t="shared" si="135"/>
        <v>8.5649999999999995</v>
      </c>
      <c r="O629" s="261"/>
      <c r="P629" s="261"/>
      <c r="Q629" s="345">
        <v>2812100400</v>
      </c>
      <c r="R629" s="49" t="s">
        <v>950</v>
      </c>
      <c r="S629" s="349">
        <v>34.839999999999996</v>
      </c>
    </row>
    <row r="630" spans="2:19">
      <c r="B630" s="215">
        <v>2813910092</v>
      </c>
      <c r="E630" s="216">
        <f t="shared" si="132"/>
        <v>11.42</v>
      </c>
      <c r="F630" s="216">
        <v>8.57</v>
      </c>
      <c r="G630" s="222" t="s">
        <v>1619</v>
      </c>
      <c r="J630" s="49">
        <f t="shared" si="133"/>
        <v>2813910092</v>
      </c>
      <c r="K630" s="217">
        <f t="shared" si="134"/>
        <v>11.42</v>
      </c>
      <c r="L630" s="282">
        <v>43.62</v>
      </c>
      <c r="M630" s="282">
        <f t="shared" si="131"/>
        <v>8.57</v>
      </c>
      <c r="N630" s="282">
        <f t="shared" si="135"/>
        <v>8.5649999999999995</v>
      </c>
      <c r="O630" s="261"/>
      <c r="P630" s="261"/>
      <c r="Q630" s="345">
        <v>2812100500</v>
      </c>
      <c r="R630" s="49" t="s">
        <v>951</v>
      </c>
      <c r="S630" s="349">
        <v>51.19</v>
      </c>
    </row>
    <row r="631" spans="2:19">
      <c r="B631" s="215">
        <v>2813920000</v>
      </c>
      <c r="E631" s="216">
        <f t="shared" si="132"/>
        <v>56.28</v>
      </c>
      <c r="F631" s="216">
        <v>42.21</v>
      </c>
      <c r="G631" s="222" t="s">
        <v>1620</v>
      </c>
      <c r="J631" s="49">
        <f t="shared" si="133"/>
        <v>2813920000</v>
      </c>
      <c r="K631" s="217">
        <f t="shared" si="134"/>
        <v>56.28</v>
      </c>
      <c r="L631" s="282">
        <v>58.07</v>
      </c>
      <c r="M631" s="282">
        <f t="shared" si="131"/>
        <v>42.21</v>
      </c>
      <c r="N631" s="282">
        <f t="shared" si="135"/>
        <v>42.21</v>
      </c>
      <c r="O631" s="261"/>
      <c r="P631" s="261"/>
      <c r="Q631" s="345">
        <v>2812100600</v>
      </c>
      <c r="R631" s="49" t="s">
        <v>952</v>
      </c>
      <c r="S631" s="349">
        <v>33.479999999999997</v>
      </c>
    </row>
    <row r="632" spans="2:19">
      <c r="B632" s="215">
        <v>2813920001</v>
      </c>
      <c r="E632" s="216">
        <f t="shared" si="132"/>
        <v>74.940000000000012</v>
      </c>
      <c r="F632" s="216">
        <v>56.21</v>
      </c>
      <c r="G632" s="222" t="s">
        <v>1622</v>
      </c>
      <c r="J632" s="49">
        <f t="shared" si="133"/>
        <v>2813920001</v>
      </c>
      <c r="K632" s="217">
        <f t="shared" si="134"/>
        <v>74.940000000000012</v>
      </c>
      <c r="L632" s="282">
        <v>55.6</v>
      </c>
      <c r="M632" s="282">
        <f t="shared" si="131"/>
        <v>56.21</v>
      </c>
      <c r="N632" s="282">
        <f t="shared" si="135"/>
        <v>56.205000000000013</v>
      </c>
      <c r="O632" s="261"/>
      <c r="P632" s="261"/>
      <c r="Q632" s="345">
        <v>2812100900</v>
      </c>
      <c r="R632" s="49" t="s">
        <v>953</v>
      </c>
      <c r="S632" s="349">
        <v>65.83</v>
      </c>
    </row>
    <row r="633" spans="2:19">
      <c r="B633" s="215">
        <v>2813920002</v>
      </c>
      <c r="E633" s="216">
        <f t="shared" si="132"/>
        <v>71.75</v>
      </c>
      <c r="F633" s="216">
        <v>53.81</v>
      </c>
      <c r="G633" s="222" t="s">
        <v>1623</v>
      </c>
      <c r="J633" s="49">
        <f t="shared" si="133"/>
        <v>2813920002</v>
      </c>
      <c r="K633" s="217">
        <f t="shared" si="134"/>
        <v>71.75</v>
      </c>
      <c r="L633" s="282">
        <v>142.69999999999999</v>
      </c>
      <c r="M633" s="282">
        <f t="shared" si="131"/>
        <v>53.81</v>
      </c>
      <c r="N633" s="282">
        <f t="shared" si="135"/>
        <v>53.8125</v>
      </c>
      <c r="O633" s="261"/>
      <c r="P633" s="261"/>
      <c r="Q633" s="345">
        <v>2812101800</v>
      </c>
      <c r="R633" s="49" t="s">
        <v>954</v>
      </c>
      <c r="S633" s="349">
        <v>61.91</v>
      </c>
    </row>
    <row r="634" spans="2:19">
      <c r="B634" s="215">
        <v>2813920003</v>
      </c>
      <c r="E634" s="216">
        <f t="shared" si="132"/>
        <v>184.12</v>
      </c>
      <c r="F634" s="216">
        <v>138.09</v>
      </c>
      <c r="G634" s="222" t="s">
        <v>1624</v>
      </c>
      <c r="J634" s="49">
        <f t="shared" si="133"/>
        <v>2813920003</v>
      </c>
      <c r="K634" s="217">
        <f t="shared" si="134"/>
        <v>184.12</v>
      </c>
      <c r="L634" s="282">
        <v>151.87</v>
      </c>
      <c r="M634" s="282">
        <f t="shared" si="131"/>
        <v>138.09</v>
      </c>
      <c r="N634" s="282">
        <f t="shared" si="135"/>
        <v>138.09</v>
      </c>
      <c r="O634" s="261"/>
      <c r="P634" s="261"/>
      <c r="Q634" s="16">
        <v>2812102220</v>
      </c>
      <c r="R634" t="s">
        <v>955</v>
      </c>
      <c r="S634" s="349">
        <v>101.57000000000001</v>
      </c>
    </row>
    <row r="635" spans="2:19">
      <c r="B635" s="215">
        <v>2813920004</v>
      </c>
      <c r="E635" s="216">
        <f t="shared" si="132"/>
        <v>195.98</v>
      </c>
      <c r="F635" s="216">
        <v>146.99</v>
      </c>
      <c r="G635" s="222" t="s">
        <v>1625</v>
      </c>
      <c r="J635" s="49">
        <f t="shared" si="133"/>
        <v>2813920004</v>
      </c>
      <c r="K635" s="217">
        <f t="shared" si="134"/>
        <v>195.98</v>
      </c>
      <c r="L635" s="282">
        <v>144.13</v>
      </c>
      <c r="M635" s="282">
        <f t="shared" si="131"/>
        <v>146.99</v>
      </c>
      <c r="N635" s="282">
        <f t="shared" si="135"/>
        <v>146.98499999999999</v>
      </c>
      <c r="O635" s="261"/>
      <c r="P635" s="261"/>
      <c r="Q635" s="16">
        <v>2812102800</v>
      </c>
      <c r="R635" t="s">
        <v>956</v>
      </c>
      <c r="S635" s="349">
        <v>199.39</v>
      </c>
    </row>
    <row r="636" spans="2:19">
      <c r="B636" s="215">
        <v>2813920005</v>
      </c>
      <c r="E636" s="216">
        <f t="shared" si="132"/>
        <v>185.95999999999998</v>
      </c>
      <c r="F636" s="216">
        <v>139.47</v>
      </c>
      <c r="G636" s="222" t="s">
        <v>1626</v>
      </c>
      <c r="J636" s="49">
        <f t="shared" si="133"/>
        <v>2813920005</v>
      </c>
      <c r="K636" s="217">
        <f t="shared" si="134"/>
        <v>185.95999999999998</v>
      </c>
      <c r="L636" s="282">
        <v>153.38999999999999</v>
      </c>
      <c r="M636" s="282">
        <f t="shared" si="131"/>
        <v>139.47</v>
      </c>
      <c r="N636" s="282">
        <f t="shared" si="135"/>
        <v>139.46999999999997</v>
      </c>
      <c r="O636" s="261"/>
      <c r="P636" s="261"/>
      <c r="Q636" s="16">
        <v>2812104000</v>
      </c>
      <c r="R636" t="s">
        <v>957</v>
      </c>
      <c r="S636" s="349">
        <v>67.400000000000006</v>
      </c>
    </row>
    <row r="637" spans="2:19">
      <c r="B637" s="215">
        <v>2813920006</v>
      </c>
      <c r="E637" s="216">
        <f t="shared" si="132"/>
        <v>197.89999999999998</v>
      </c>
      <c r="F637" s="216">
        <v>148.43</v>
      </c>
      <c r="G637" s="222" t="s">
        <v>1627</v>
      </c>
      <c r="J637" s="49">
        <f t="shared" si="133"/>
        <v>2813920006</v>
      </c>
      <c r="K637" s="217">
        <f t="shared" si="134"/>
        <v>197.89999999999998</v>
      </c>
      <c r="L637" s="282">
        <v>29.78</v>
      </c>
      <c r="M637" s="282">
        <f t="shared" si="131"/>
        <v>148.43</v>
      </c>
      <c r="N637" s="282">
        <f t="shared" si="135"/>
        <v>148.42499999999998</v>
      </c>
      <c r="O637" s="261"/>
      <c r="P637" s="261"/>
      <c r="Q637" s="345">
        <v>2812104100</v>
      </c>
      <c r="R637" s="49" t="s">
        <v>958</v>
      </c>
      <c r="S637" s="349">
        <v>71.540000000000006</v>
      </c>
    </row>
    <row r="638" spans="2:19">
      <c r="B638" s="215">
        <v>2813920007</v>
      </c>
      <c r="E638" s="216">
        <f t="shared" si="132"/>
        <v>38.44</v>
      </c>
      <c r="F638" s="216">
        <v>28.83</v>
      </c>
      <c r="G638" s="222" t="s">
        <v>1628</v>
      </c>
      <c r="J638" s="49">
        <f t="shared" si="133"/>
        <v>2813920007</v>
      </c>
      <c r="K638" s="217">
        <f t="shared" si="134"/>
        <v>38.44</v>
      </c>
      <c r="L638" s="282">
        <v>45.05</v>
      </c>
      <c r="M638" s="282">
        <f t="shared" si="131"/>
        <v>28.83</v>
      </c>
      <c r="N638" s="282">
        <f t="shared" si="135"/>
        <v>28.83</v>
      </c>
      <c r="O638" s="261"/>
      <c r="P638" s="261"/>
      <c r="Q638" s="16">
        <v>2812105100</v>
      </c>
      <c r="R638" t="s">
        <v>959</v>
      </c>
      <c r="S638" s="349">
        <v>165.2</v>
      </c>
    </row>
    <row r="639" spans="2:19">
      <c r="B639" s="215">
        <v>2813920008</v>
      </c>
      <c r="E639" s="216">
        <f t="shared" si="132"/>
        <v>58.129999999999995</v>
      </c>
      <c r="F639" s="216">
        <v>43.6</v>
      </c>
      <c r="G639" s="222" t="s">
        <v>1629</v>
      </c>
      <c r="J639" s="49">
        <f t="shared" si="133"/>
        <v>2813920008</v>
      </c>
      <c r="K639" s="217">
        <f t="shared" si="134"/>
        <v>58.129999999999995</v>
      </c>
      <c r="L639" s="282">
        <v>47.71</v>
      </c>
      <c r="M639" s="282">
        <f t="shared" si="131"/>
        <v>43.6</v>
      </c>
      <c r="N639" s="282">
        <f t="shared" si="135"/>
        <v>43.597499999999997</v>
      </c>
      <c r="O639" s="261"/>
      <c r="P639" s="261"/>
      <c r="Q639" s="16">
        <v>2812105400</v>
      </c>
      <c r="R639" t="s">
        <v>960</v>
      </c>
      <c r="S639" s="349">
        <v>69.48</v>
      </c>
    </row>
    <row r="640" spans="2:19">
      <c r="B640" s="215">
        <v>2813920009</v>
      </c>
      <c r="E640" s="216">
        <f t="shared" si="132"/>
        <v>61.559999999999995</v>
      </c>
      <c r="F640" s="216">
        <v>46.17</v>
      </c>
      <c r="G640" s="222" t="s">
        <v>1630</v>
      </c>
      <c r="J640" s="49">
        <f t="shared" si="133"/>
        <v>2813920009</v>
      </c>
      <c r="K640" s="217">
        <f t="shared" si="134"/>
        <v>61.559999999999995</v>
      </c>
      <c r="L640" s="282">
        <v>104.77</v>
      </c>
      <c r="M640" s="282">
        <f t="shared" si="131"/>
        <v>46.17</v>
      </c>
      <c r="N640" s="282">
        <f t="shared" si="135"/>
        <v>46.169999999999995</v>
      </c>
      <c r="O640" s="261"/>
      <c r="P640" s="261"/>
      <c r="Q640" s="16">
        <v>2812105500</v>
      </c>
      <c r="R640" t="s">
        <v>961</v>
      </c>
      <c r="S640" s="349">
        <v>230.54</v>
      </c>
    </row>
    <row r="641" spans="2:19">
      <c r="B641" s="215">
        <v>2813920010</v>
      </c>
      <c r="E641" s="216">
        <f t="shared" si="132"/>
        <v>135.19</v>
      </c>
      <c r="F641" s="216">
        <v>101.39</v>
      </c>
      <c r="G641" s="222" t="s">
        <v>1631</v>
      </c>
      <c r="J641" s="49">
        <f t="shared" si="133"/>
        <v>2813920010</v>
      </c>
      <c r="K641" s="217">
        <f t="shared" si="134"/>
        <v>135.19</v>
      </c>
      <c r="L641" s="282">
        <v>124.79</v>
      </c>
      <c r="M641" s="282">
        <f t="shared" si="131"/>
        <v>101.39</v>
      </c>
      <c r="N641" s="282">
        <f t="shared" si="135"/>
        <v>101.3925</v>
      </c>
      <c r="O641" s="261"/>
      <c r="P641" s="261"/>
      <c r="Q641" s="16">
        <v>2812106520</v>
      </c>
      <c r="R641" t="s">
        <v>962</v>
      </c>
      <c r="S641" s="349">
        <v>41.71</v>
      </c>
    </row>
    <row r="642" spans="2:19">
      <c r="B642" s="215">
        <v>2813920011</v>
      </c>
      <c r="E642" s="216">
        <f t="shared" si="132"/>
        <v>161.03</v>
      </c>
      <c r="F642" s="216">
        <v>120.77</v>
      </c>
      <c r="G642" s="222" t="s">
        <v>1632</v>
      </c>
      <c r="J642" s="49">
        <f t="shared" si="133"/>
        <v>2813920011</v>
      </c>
      <c r="K642" s="217">
        <f t="shared" si="134"/>
        <v>161.03</v>
      </c>
      <c r="L642" s="282">
        <v>108.21</v>
      </c>
      <c r="M642" s="282">
        <f t="shared" si="131"/>
        <v>120.77</v>
      </c>
      <c r="N642" s="282">
        <f t="shared" si="135"/>
        <v>120.77250000000001</v>
      </c>
      <c r="O642" s="261"/>
      <c r="P642" s="261"/>
      <c r="Q642" s="16">
        <v>2812106700</v>
      </c>
      <c r="R642" t="s">
        <v>963</v>
      </c>
      <c r="S642" s="349">
        <v>107.66000000000001</v>
      </c>
    </row>
    <row r="643" spans="2:19">
      <c r="B643" s="215">
        <v>2813920012</v>
      </c>
      <c r="E643" s="216">
        <f t="shared" si="132"/>
        <v>139.62</v>
      </c>
      <c r="F643" s="216">
        <v>104.72</v>
      </c>
      <c r="G643" s="222" t="s">
        <v>1633</v>
      </c>
      <c r="J643" s="49">
        <f t="shared" si="133"/>
        <v>2813920012</v>
      </c>
      <c r="K643" s="217">
        <f t="shared" si="134"/>
        <v>139.62</v>
      </c>
      <c r="L643" s="282">
        <v>130.16999999999999</v>
      </c>
      <c r="M643" s="282">
        <f t="shared" si="131"/>
        <v>104.72</v>
      </c>
      <c r="N643" s="282">
        <f t="shared" si="135"/>
        <v>104.715</v>
      </c>
      <c r="O643" s="261"/>
      <c r="P643" s="261"/>
      <c r="Q643" s="16">
        <v>2812111400</v>
      </c>
      <c r="R643" t="s">
        <v>964</v>
      </c>
      <c r="S643" s="349">
        <v>63.269999999999996</v>
      </c>
    </row>
    <row r="644" spans="2:19">
      <c r="B644" s="215">
        <v>2813920013</v>
      </c>
      <c r="E644" s="216">
        <f t="shared" si="132"/>
        <v>167.97</v>
      </c>
      <c r="F644" s="216">
        <v>125.98</v>
      </c>
      <c r="G644" s="222" t="s">
        <v>1634</v>
      </c>
      <c r="J644" s="49">
        <f t="shared" si="133"/>
        <v>2813920013</v>
      </c>
      <c r="K644" s="217">
        <f t="shared" si="134"/>
        <v>167.97</v>
      </c>
      <c r="L644" s="282">
        <v>59.13</v>
      </c>
      <c r="M644" s="282">
        <f t="shared" si="131"/>
        <v>125.98</v>
      </c>
      <c r="N644" s="282">
        <f t="shared" si="135"/>
        <v>125.97749999999999</v>
      </c>
      <c r="O644" s="261"/>
      <c r="P644" s="261"/>
      <c r="Q644" s="16">
        <v>2812111800</v>
      </c>
      <c r="R644" t="s">
        <v>965</v>
      </c>
      <c r="S644" s="349">
        <v>61.91</v>
      </c>
    </row>
    <row r="645" spans="2:19">
      <c r="B645" s="215">
        <v>2813920014</v>
      </c>
      <c r="E645" s="216">
        <f t="shared" si="132"/>
        <v>76.31</v>
      </c>
      <c r="F645" s="216">
        <v>57.23</v>
      </c>
      <c r="G645" s="222" t="s">
        <v>1635</v>
      </c>
      <c r="J645" s="49">
        <f t="shared" si="133"/>
        <v>2813920014</v>
      </c>
      <c r="K645" s="217">
        <f t="shared" si="134"/>
        <v>76.31</v>
      </c>
      <c r="L645" s="282">
        <v>79.22</v>
      </c>
      <c r="M645" s="282">
        <f t="shared" si="131"/>
        <v>57.23</v>
      </c>
      <c r="N645" s="282">
        <f t="shared" si="135"/>
        <v>57.232500000000002</v>
      </c>
      <c r="O645" s="261"/>
      <c r="P645" s="261"/>
      <c r="Q645" s="16">
        <v>2812112000</v>
      </c>
      <c r="R645" t="s">
        <v>966</v>
      </c>
      <c r="S645" s="349">
        <v>59.53</v>
      </c>
    </row>
    <row r="646" spans="2:19">
      <c r="B646" s="215">
        <v>2813920015</v>
      </c>
      <c r="E646" s="216">
        <f t="shared" si="132"/>
        <v>102.22</v>
      </c>
      <c r="F646" s="216">
        <v>76.67</v>
      </c>
      <c r="G646" s="222" t="s">
        <v>1636</v>
      </c>
      <c r="J646" s="49">
        <f t="shared" si="133"/>
        <v>2813920015</v>
      </c>
      <c r="K646" s="217">
        <f t="shared" si="134"/>
        <v>102.22</v>
      </c>
      <c r="L646" s="282">
        <v>79.22</v>
      </c>
      <c r="M646" s="282">
        <f t="shared" si="131"/>
        <v>76.67</v>
      </c>
      <c r="N646" s="282">
        <f t="shared" si="135"/>
        <v>76.664999999999992</v>
      </c>
      <c r="O646" s="261"/>
      <c r="P646" s="261"/>
      <c r="Q646" s="16">
        <v>2812112220</v>
      </c>
      <c r="R646" t="s">
        <v>967</v>
      </c>
      <c r="S646" s="349">
        <v>88.47</v>
      </c>
    </row>
    <row r="647" spans="2:19">
      <c r="B647" s="215">
        <v>2813920016</v>
      </c>
      <c r="E647" s="216">
        <f t="shared" si="132"/>
        <v>102.22</v>
      </c>
      <c r="F647" s="216">
        <v>76.67</v>
      </c>
      <c r="G647" s="222" t="s">
        <v>1637</v>
      </c>
      <c r="J647" s="49">
        <f t="shared" si="133"/>
        <v>2813920016</v>
      </c>
      <c r="K647" s="217">
        <f t="shared" si="134"/>
        <v>102.22</v>
      </c>
      <c r="L647" s="282">
        <v>135.87</v>
      </c>
      <c r="M647" s="282">
        <f t="shared" si="131"/>
        <v>76.67</v>
      </c>
      <c r="N647" s="282">
        <f t="shared" si="135"/>
        <v>76.664999999999992</v>
      </c>
      <c r="O647" s="261"/>
      <c r="P647" s="261"/>
      <c r="Q647" s="16">
        <v>2812115400</v>
      </c>
      <c r="R647" t="s">
        <v>968</v>
      </c>
      <c r="S647" s="349">
        <v>73.940000000000012</v>
      </c>
    </row>
    <row r="648" spans="2:19">
      <c r="B648" s="215">
        <v>2813920017</v>
      </c>
      <c r="E648" s="216">
        <f t="shared" si="132"/>
        <v>175.32999999999998</v>
      </c>
      <c r="F648" s="216">
        <v>131.5</v>
      </c>
      <c r="G648" s="222" t="s">
        <v>1638</v>
      </c>
      <c r="J648" s="49">
        <f t="shared" si="133"/>
        <v>2813920017</v>
      </c>
      <c r="K648" s="217">
        <f t="shared" si="134"/>
        <v>175.32999999999998</v>
      </c>
      <c r="L648" s="282">
        <v>144.69999999999999</v>
      </c>
      <c r="M648" s="282">
        <f t="shared" si="131"/>
        <v>131.5</v>
      </c>
      <c r="N648" s="282">
        <f t="shared" si="135"/>
        <v>131.4975</v>
      </c>
      <c r="O648" s="261"/>
      <c r="P648" s="261"/>
      <c r="Q648" s="16">
        <v>2812200000</v>
      </c>
      <c r="R648" t="s">
        <v>1621</v>
      </c>
      <c r="S648" s="349">
        <v>335.49</v>
      </c>
    </row>
    <row r="649" spans="2:19">
      <c r="B649" s="215">
        <v>2813920018</v>
      </c>
      <c r="E649" s="216">
        <f t="shared" si="132"/>
        <v>186.7</v>
      </c>
      <c r="F649" s="216">
        <v>140.03</v>
      </c>
      <c r="G649" s="222" t="s">
        <v>1639</v>
      </c>
      <c r="J649" s="49">
        <f t="shared" si="133"/>
        <v>2813920018</v>
      </c>
      <c r="K649" s="217">
        <f t="shared" si="134"/>
        <v>186.7</v>
      </c>
      <c r="L649" s="282">
        <v>135.87</v>
      </c>
      <c r="M649" s="282">
        <f t="shared" si="131"/>
        <v>140.03</v>
      </c>
      <c r="N649" s="282">
        <f t="shared" si="135"/>
        <v>140.02499999999998</v>
      </c>
      <c r="O649" s="261"/>
      <c r="P649" s="261"/>
      <c r="Q649" s="16">
        <v>2812200100</v>
      </c>
      <c r="R649" t="s">
        <v>970</v>
      </c>
      <c r="S649" s="349">
        <v>258.14999999999998</v>
      </c>
    </row>
    <row r="650" spans="2:19">
      <c r="B650" s="215">
        <v>2813920019</v>
      </c>
      <c r="E650" s="216">
        <f t="shared" si="132"/>
        <v>175.32999999999998</v>
      </c>
      <c r="F650" s="216">
        <v>131.5</v>
      </c>
      <c r="G650" s="222" t="s">
        <v>1640</v>
      </c>
      <c r="J650" s="49">
        <f t="shared" si="133"/>
        <v>2813920019</v>
      </c>
      <c r="K650" s="217">
        <f t="shared" si="134"/>
        <v>175.32999999999998</v>
      </c>
      <c r="L650" s="282">
        <v>145.03</v>
      </c>
      <c r="M650" s="282">
        <f t="shared" si="131"/>
        <v>131.5</v>
      </c>
      <c r="N650" s="282">
        <f t="shared" si="135"/>
        <v>131.4975</v>
      </c>
      <c r="O650" s="261"/>
      <c r="P650" s="261"/>
      <c r="Q650" s="345">
        <v>2812200200</v>
      </c>
      <c r="R650" s="49" t="s">
        <v>971</v>
      </c>
      <c r="S650" s="349">
        <v>64.940000000000012</v>
      </c>
    </row>
    <row r="651" spans="2:19">
      <c r="B651" s="215">
        <v>2813920020</v>
      </c>
      <c r="E651" s="216">
        <f t="shared" si="132"/>
        <v>187.16</v>
      </c>
      <c r="F651" s="216">
        <v>140.37</v>
      </c>
      <c r="G651" s="222" t="s">
        <v>1641</v>
      </c>
      <c r="J651" s="49">
        <f t="shared" si="133"/>
        <v>2813920020</v>
      </c>
      <c r="K651" s="217">
        <f t="shared" si="134"/>
        <v>187.16</v>
      </c>
      <c r="L651" s="282">
        <v>40.04</v>
      </c>
      <c r="M651" s="282">
        <f t="shared" si="131"/>
        <v>140.37</v>
      </c>
      <c r="N651" s="282">
        <f t="shared" si="135"/>
        <v>140.37</v>
      </c>
      <c r="O651" s="261"/>
      <c r="P651" s="261"/>
      <c r="Q651" s="345">
        <v>2812200300</v>
      </c>
      <c r="R651" s="49" t="s">
        <v>972</v>
      </c>
      <c r="S651" s="349">
        <v>64.940000000000012</v>
      </c>
    </row>
    <row r="652" spans="2:19">
      <c r="B652" s="215">
        <v>2813920021</v>
      </c>
      <c r="E652" s="216">
        <f t="shared" si="132"/>
        <v>51.66</v>
      </c>
      <c r="F652" s="216">
        <v>38.75</v>
      </c>
      <c r="G652" s="222" t="s">
        <v>1642</v>
      </c>
      <c r="J652" s="49">
        <f t="shared" si="133"/>
        <v>2813920021</v>
      </c>
      <c r="K652" s="217">
        <f t="shared" si="134"/>
        <v>51.66</v>
      </c>
      <c r="L652" s="282">
        <v>51.98</v>
      </c>
      <c r="M652" s="282">
        <f t="shared" si="131"/>
        <v>38.75</v>
      </c>
      <c r="N652" s="282">
        <f t="shared" si="135"/>
        <v>38.744999999999997</v>
      </c>
      <c r="O652" s="261"/>
      <c r="P652" s="261"/>
      <c r="Q652" s="345">
        <v>2812200400</v>
      </c>
      <c r="R652" s="49" t="s">
        <v>973</v>
      </c>
      <c r="S652" s="349">
        <v>64.940000000000012</v>
      </c>
    </row>
    <row r="653" spans="2:19">
      <c r="B653" s="215">
        <v>2813920022</v>
      </c>
      <c r="E653" s="216">
        <f t="shared" si="132"/>
        <v>67.070000000000007</v>
      </c>
      <c r="F653" s="216">
        <v>50.3</v>
      </c>
      <c r="G653" s="222" t="s">
        <v>1643</v>
      </c>
      <c r="J653" s="49">
        <f t="shared" si="133"/>
        <v>2813920022</v>
      </c>
      <c r="K653" s="217">
        <f t="shared" si="134"/>
        <v>67.070000000000007</v>
      </c>
      <c r="L653" s="282">
        <v>50.92</v>
      </c>
      <c r="M653" s="282">
        <f t="shared" si="131"/>
        <v>50.3</v>
      </c>
      <c r="N653" s="282">
        <f t="shared" si="135"/>
        <v>50.302500000000009</v>
      </c>
      <c r="O653" s="261"/>
      <c r="P653" s="261"/>
      <c r="Q653" s="345">
        <v>2812200500</v>
      </c>
      <c r="R653" s="49" t="s">
        <v>974</v>
      </c>
      <c r="S653" s="349">
        <v>90.31</v>
      </c>
    </row>
    <row r="654" spans="2:19">
      <c r="B654" s="215">
        <v>2813920023</v>
      </c>
      <c r="E654" s="216">
        <f t="shared" si="132"/>
        <v>65.7</v>
      </c>
      <c r="F654" s="216">
        <v>49.28</v>
      </c>
      <c r="G654" s="222" t="s">
        <v>1645</v>
      </c>
      <c r="J654" s="49">
        <f t="shared" si="133"/>
        <v>2813920023</v>
      </c>
      <c r="K654" s="217">
        <f t="shared" si="134"/>
        <v>65.7</v>
      </c>
      <c r="L654" s="282">
        <v>135.22999999999999</v>
      </c>
      <c r="M654" s="282">
        <f t="shared" si="131"/>
        <v>49.28</v>
      </c>
      <c r="N654" s="282">
        <f t="shared" si="135"/>
        <v>49.275000000000006</v>
      </c>
      <c r="O654" s="261"/>
      <c r="P654" s="261"/>
      <c r="Q654" s="345">
        <v>2812200600</v>
      </c>
      <c r="R654" s="49" t="s">
        <v>975</v>
      </c>
      <c r="S654" s="349">
        <v>62.419999999999995</v>
      </c>
    </row>
    <row r="655" spans="2:19">
      <c r="B655" s="215">
        <v>2813920024</v>
      </c>
      <c r="E655" s="216">
        <f t="shared" si="132"/>
        <v>174.48</v>
      </c>
      <c r="F655" s="216">
        <v>130.86000000000001</v>
      </c>
      <c r="G655" s="222" t="s">
        <v>1646</v>
      </c>
      <c r="J655" s="49">
        <f t="shared" si="133"/>
        <v>2813920024</v>
      </c>
      <c r="K655" s="217">
        <f t="shared" si="134"/>
        <v>174.48</v>
      </c>
      <c r="L655" s="282">
        <v>139.68</v>
      </c>
      <c r="M655" s="282">
        <f t="shared" si="131"/>
        <v>130.86000000000001</v>
      </c>
      <c r="N655" s="282">
        <f t="shared" si="135"/>
        <v>130.85999999999999</v>
      </c>
      <c r="O655" s="261"/>
      <c r="P655" s="261"/>
      <c r="Q655" s="345">
        <v>2812202220</v>
      </c>
      <c r="R655" s="49" t="s">
        <v>976</v>
      </c>
      <c r="S655" s="349">
        <v>110.46000000000001</v>
      </c>
    </row>
    <row r="656" spans="2:19">
      <c r="B656" s="215">
        <v>2813920025</v>
      </c>
      <c r="E656" s="216">
        <f t="shared" si="132"/>
        <v>180.23</v>
      </c>
      <c r="F656" s="216">
        <v>135.16999999999999</v>
      </c>
      <c r="G656" s="222" t="s">
        <v>1647</v>
      </c>
      <c r="J656" s="49">
        <f t="shared" si="133"/>
        <v>2813920025</v>
      </c>
      <c r="K656" s="217">
        <f t="shared" si="134"/>
        <v>180.23</v>
      </c>
      <c r="L656" s="282">
        <v>101.66</v>
      </c>
      <c r="M656" s="282">
        <f t="shared" si="131"/>
        <v>135.16999999999999</v>
      </c>
      <c r="N656" s="282">
        <f t="shared" si="135"/>
        <v>135.17249999999999</v>
      </c>
      <c r="O656" s="261"/>
      <c r="P656" s="261"/>
      <c r="Q656" s="345">
        <v>2812202800</v>
      </c>
      <c r="R656" s="49" t="s">
        <v>977</v>
      </c>
      <c r="S656" s="349">
        <v>225.58</v>
      </c>
    </row>
    <row r="657" spans="2:19">
      <c r="B657" s="215">
        <v>2813920026</v>
      </c>
      <c r="E657" s="216">
        <f t="shared" si="132"/>
        <v>131.17999999999998</v>
      </c>
      <c r="F657" s="216">
        <v>98.39</v>
      </c>
      <c r="G657" s="222" t="s">
        <v>1648</v>
      </c>
      <c r="J657" s="49">
        <f t="shared" si="133"/>
        <v>2813920026</v>
      </c>
      <c r="K657" s="217">
        <f t="shared" si="134"/>
        <v>131.17999999999998</v>
      </c>
      <c r="L657" s="282">
        <v>124.87</v>
      </c>
      <c r="M657" s="282">
        <f t="shared" si="131"/>
        <v>98.39</v>
      </c>
      <c r="N657" s="282">
        <f t="shared" si="135"/>
        <v>98.384999999999991</v>
      </c>
      <c r="O657" s="261"/>
      <c r="P657" s="261"/>
      <c r="Q657" s="16">
        <v>2812205100</v>
      </c>
      <c r="R657" t="s">
        <v>978</v>
      </c>
      <c r="S657" s="349">
        <v>252.17999999999998</v>
      </c>
    </row>
    <row r="658" spans="2:19">
      <c r="B658" s="215">
        <v>2813920027</v>
      </c>
      <c r="E658" s="216">
        <f t="shared" si="132"/>
        <v>161.10999999999999</v>
      </c>
      <c r="F658" s="216">
        <v>120.83</v>
      </c>
      <c r="G658" s="222" t="s">
        <v>1649</v>
      </c>
      <c r="J658" s="49">
        <f t="shared" si="133"/>
        <v>2813920027</v>
      </c>
      <c r="K658" s="217">
        <f t="shared" si="134"/>
        <v>161.10999999999999</v>
      </c>
      <c r="L658" s="282">
        <v>135.22999999999999</v>
      </c>
      <c r="M658" s="282">
        <f t="shared" si="131"/>
        <v>120.83</v>
      </c>
      <c r="N658" s="282">
        <f t="shared" si="135"/>
        <v>120.83249999999998</v>
      </c>
      <c r="O658" s="261"/>
      <c r="P658" s="261"/>
      <c r="Q658" s="345">
        <v>2812205500</v>
      </c>
      <c r="R658" s="49" t="s">
        <v>979</v>
      </c>
      <c r="S658" s="349">
        <v>357.64</v>
      </c>
    </row>
    <row r="659" spans="2:19">
      <c r="B659" s="215">
        <v>2813920028</v>
      </c>
      <c r="E659" s="216">
        <f t="shared" si="132"/>
        <v>174.48</v>
      </c>
      <c r="F659" s="216">
        <v>130.86000000000001</v>
      </c>
      <c r="G659" s="222" t="s">
        <v>1650</v>
      </c>
      <c r="J659" s="49">
        <f t="shared" si="133"/>
        <v>2813920028</v>
      </c>
      <c r="K659" s="217">
        <f t="shared" si="134"/>
        <v>174.48</v>
      </c>
      <c r="L659" s="282">
        <v>217.01</v>
      </c>
      <c r="M659" s="282">
        <f t="shared" si="131"/>
        <v>130.86000000000001</v>
      </c>
      <c r="N659" s="282">
        <f t="shared" si="135"/>
        <v>130.85999999999999</v>
      </c>
      <c r="O659" s="261"/>
      <c r="P659" s="261"/>
      <c r="Q659" s="345">
        <v>2812206520</v>
      </c>
      <c r="R659" s="49" t="s">
        <v>980</v>
      </c>
      <c r="S659" s="349">
        <v>61.919999999999995</v>
      </c>
    </row>
    <row r="660" spans="2:19">
      <c r="B660" s="215">
        <v>2813920029</v>
      </c>
      <c r="E660" s="216">
        <f t="shared" si="132"/>
        <v>280.02</v>
      </c>
      <c r="F660" s="216">
        <v>210.02</v>
      </c>
      <c r="G660" s="222" t="s">
        <v>1651</v>
      </c>
      <c r="J660" s="49">
        <f t="shared" si="133"/>
        <v>2813920029</v>
      </c>
      <c r="K660" s="217">
        <f t="shared" si="134"/>
        <v>280.02</v>
      </c>
      <c r="L660" s="282">
        <v>258.51</v>
      </c>
      <c r="M660" s="282">
        <f t="shared" si="131"/>
        <v>210.02</v>
      </c>
      <c r="N660" s="282">
        <f t="shared" si="135"/>
        <v>210.01499999999999</v>
      </c>
      <c r="O660" s="261"/>
      <c r="P660" s="261"/>
      <c r="Q660" s="345">
        <v>2812206700</v>
      </c>
      <c r="R660" s="49" t="s">
        <v>981</v>
      </c>
      <c r="S660" s="349">
        <v>96.04</v>
      </c>
    </row>
    <row r="661" spans="2:19">
      <c r="B661" s="215">
        <v>2813920030</v>
      </c>
      <c r="E661" s="216">
        <f t="shared" si="132"/>
        <v>333.55</v>
      </c>
      <c r="F661" s="216">
        <v>250.16</v>
      </c>
      <c r="G661" s="222" t="s">
        <v>1652</v>
      </c>
      <c r="J661" s="49">
        <f t="shared" si="133"/>
        <v>2813920030</v>
      </c>
      <c r="K661" s="217">
        <f t="shared" si="134"/>
        <v>333.55</v>
      </c>
      <c r="L661" s="282">
        <v>221.42</v>
      </c>
      <c r="M661" s="282">
        <f t="shared" si="131"/>
        <v>250.16</v>
      </c>
      <c r="N661" s="282">
        <f t="shared" si="135"/>
        <v>250.16250000000002</v>
      </c>
      <c r="O661" s="261"/>
      <c r="P661" s="261"/>
      <c r="Q661" s="345">
        <v>2812210700</v>
      </c>
      <c r="R661" s="49" t="s">
        <v>982</v>
      </c>
      <c r="S661" s="349">
        <v>134.22</v>
      </c>
    </row>
    <row r="662" spans="2:19">
      <c r="B662" s="215">
        <v>2813920031</v>
      </c>
      <c r="E662" s="216">
        <f t="shared" si="132"/>
        <v>285.69</v>
      </c>
      <c r="F662" s="216">
        <v>214.27</v>
      </c>
      <c r="G662" s="222" t="s">
        <v>1653</v>
      </c>
      <c r="J662" s="49">
        <f t="shared" si="133"/>
        <v>2813920031</v>
      </c>
      <c r="K662" s="217">
        <f t="shared" si="134"/>
        <v>285.69</v>
      </c>
      <c r="L662" s="282">
        <v>263.83</v>
      </c>
      <c r="M662" s="282">
        <f t="shared" si="131"/>
        <v>214.27</v>
      </c>
      <c r="N662" s="282">
        <f t="shared" si="135"/>
        <v>214.26749999999998</v>
      </c>
      <c r="O662" s="261"/>
      <c r="P662" s="261"/>
      <c r="Q662" s="345">
        <v>2812210900</v>
      </c>
      <c r="R662" s="49" t="s">
        <v>983</v>
      </c>
      <c r="S662" s="349">
        <v>122.82000000000001</v>
      </c>
    </row>
    <row r="663" spans="2:19">
      <c r="B663" s="215">
        <v>2813920032</v>
      </c>
      <c r="E663" s="216">
        <f t="shared" si="132"/>
        <v>340.40999999999997</v>
      </c>
      <c r="F663" s="216">
        <v>255.31</v>
      </c>
      <c r="G663" s="222" t="s">
        <v>1654</v>
      </c>
      <c r="J663" s="49">
        <f t="shared" si="133"/>
        <v>2813920032</v>
      </c>
      <c r="K663" s="217">
        <f t="shared" si="134"/>
        <v>340.40999999999997</v>
      </c>
      <c r="L663" s="282">
        <v>49.97</v>
      </c>
      <c r="M663" s="282">
        <f t="shared" si="131"/>
        <v>255.31</v>
      </c>
      <c r="N663" s="282">
        <f t="shared" si="135"/>
        <v>255.30749999999998</v>
      </c>
      <c r="O663" s="261"/>
      <c r="P663" s="261"/>
      <c r="Q663" s="345">
        <v>2812211800</v>
      </c>
      <c r="R663" s="49" t="s">
        <v>984</v>
      </c>
      <c r="S663" s="349">
        <v>115.57000000000001</v>
      </c>
    </row>
    <row r="664" spans="2:19">
      <c r="B664" s="215">
        <v>2813920033</v>
      </c>
      <c r="E664" s="216">
        <f t="shared" si="132"/>
        <v>64.47</v>
      </c>
      <c r="F664" s="216">
        <v>48.35</v>
      </c>
      <c r="G664" s="222" t="s">
        <v>1655</v>
      </c>
      <c r="J664" s="49">
        <f t="shared" si="133"/>
        <v>2813920033</v>
      </c>
      <c r="K664" s="217">
        <f t="shared" si="134"/>
        <v>64.47</v>
      </c>
      <c r="L664" s="282">
        <v>66.53</v>
      </c>
      <c r="M664" s="282">
        <f t="shared" si="131"/>
        <v>48.35</v>
      </c>
      <c r="N664" s="282">
        <f t="shared" si="135"/>
        <v>48.352499999999999</v>
      </c>
      <c r="O664" s="261"/>
      <c r="P664" s="261"/>
      <c r="Q664" s="345">
        <v>2812212100</v>
      </c>
      <c r="R664" s="49" t="s">
        <v>985</v>
      </c>
      <c r="S664" s="349">
        <v>19.430000000000003</v>
      </c>
    </row>
    <row r="665" spans="2:19">
      <c r="B665" s="215">
        <v>2813920034</v>
      </c>
      <c r="E665" s="216">
        <f t="shared" si="132"/>
        <v>85.850000000000009</v>
      </c>
      <c r="F665" s="216">
        <v>64.39</v>
      </c>
      <c r="G665" s="222" t="s">
        <v>1656</v>
      </c>
      <c r="J665" s="49">
        <f t="shared" si="133"/>
        <v>2813920034</v>
      </c>
      <c r="K665" s="217">
        <f t="shared" si="134"/>
        <v>85.850000000000009</v>
      </c>
      <c r="L665" s="282">
        <v>74.17</v>
      </c>
      <c r="M665" s="282">
        <f t="shared" si="131"/>
        <v>64.39</v>
      </c>
      <c r="N665" s="282">
        <f t="shared" si="135"/>
        <v>64.387500000000003</v>
      </c>
      <c r="O665" s="261"/>
      <c r="P665" s="261"/>
      <c r="Q665" s="16">
        <v>2812212220</v>
      </c>
      <c r="R665" t="s">
        <v>986</v>
      </c>
      <c r="S665" s="349">
        <v>234.79999999999998</v>
      </c>
    </row>
    <row r="666" spans="2:19">
      <c r="B666" s="215">
        <v>2813920035</v>
      </c>
      <c r="E666" s="216">
        <f t="shared" si="132"/>
        <v>95.710000000000008</v>
      </c>
      <c r="F666" s="216">
        <v>71.78</v>
      </c>
      <c r="G666" s="222" t="s">
        <v>1657</v>
      </c>
      <c r="J666" s="49">
        <f t="shared" si="133"/>
        <v>2813920035</v>
      </c>
      <c r="K666" s="217">
        <f t="shared" si="134"/>
        <v>95.710000000000008</v>
      </c>
      <c r="L666" s="282">
        <v>29.78</v>
      </c>
      <c r="M666" s="282">
        <f t="shared" si="131"/>
        <v>71.78</v>
      </c>
      <c r="N666" s="282">
        <f t="shared" si="135"/>
        <v>71.782499999999999</v>
      </c>
      <c r="O666" s="261"/>
      <c r="P666" s="261"/>
      <c r="Q666" s="16">
        <v>2812215400</v>
      </c>
      <c r="R666" t="s">
        <v>987</v>
      </c>
      <c r="S666" s="349">
        <v>142.10999999999999</v>
      </c>
    </row>
    <row r="667" spans="2:19">
      <c r="B667" s="215">
        <v>2813920036</v>
      </c>
      <c r="E667" s="216">
        <f t="shared" si="132"/>
        <v>38.44</v>
      </c>
      <c r="F667" s="216">
        <v>28.83</v>
      </c>
      <c r="G667" s="222" t="s">
        <v>1658</v>
      </c>
      <c r="J667" s="49">
        <f t="shared" si="133"/>
        <v>2813920036</v>
      </c>
      <c r="K667" s="217">
        <f t="shared" si="134"/>
        <v>38.44</v>
      </c>
      <c r="L667" s="282">
        <v>45.05</v>
      </c>
      <c r="M667" s="282">
        <f t="shared" si="131"/>
        <v>28.83</v>
      </c>
      <c r="N667" s="282">
        <f t="shared" si="135"/>
        <v>28.83</v>
      </c>
      <c r="O667" s="261"/>
      <c r="P667" s="261"/>
      <c r="Q667" s="16">
        <v>2812221400</v>
      </c>
      <c r="R667" t="s">
        <v>988</v>
      </c>
      <c r="S667" s="349">
        <v>122.82000000000001</v>
      </c>
    </row>
    <row r="668" spans="2:19">
      <c r="B668" s="215">
        <v>2813920037</v>
      </c>
      <c r="E668" s="216">
        <f t="shared" si="132"/>
        <v>58.14</v>
      </c>
      <c r="F668" s="216">
        <v>43.61</v>
      </c>
      <c r="G668" s="222" t="s">
        <v>1659</v>
      </c>
      <c r="J668" s="49">
        <f t="shared" si="133"/>
        <v>2813920037</v>
      </c>
      <c r="K668" s="217">
        <f t="shared" si="134"/>
        <v>58.14</v>
      </c>
      <c r="L668" s="282">
        <v>47.71</v>
      </c>
      <c r="M668" s="282">
        <f t="shared" si="131"/>
        <v>43.61</v>
      </c>
      <c r="N668" s="282">
        <f t="shared" si="135"/>
        <v>43.605000000000004</v>
      </c>
      <c r="O668" s="261"/>
      <c r="P668" s="261"/>
      <c r="Q668" s="16">
        <v>2812221800</v>
      </c>
      <c r="R668" t="s">
        <v>989</v>
      </c>
      <c r="S668" s="349">
        <v>115.57000000000001</v>
      </c>
    </row>
    <row r="669" spans="2:19">
      <c r="B669" s="215">
        <v>2813920038</v>
      </c>
      <c r="E669" s="216">
        <f t="shared" si="132"/>
        <v>61.559999999999995</v>
      </c>
      <c r="F669" s="216">
        <v>46.17</v>
      </c>
      <c r="G669" s="222" t="s">
        <v>1660</v>
      </c>
      <c r="J669" s="49">
        <f t="shared" si="133"/>
        <v>2813920038</v>
      </c>
      <c r="K669" s="217">
        <f t="shared" si="134"/>
        <v>61.559999999999995</v>
      </c>
      <c r="L669" s="282">
        <v>67.73</v>
      </c>
      <c r="M669" s="282">
        <f t="shared" si="131"/>
        <v>46.17</v>
      </c>
      <c r="N669" s="282">
        <f t="shared" si="135"/>
        <v>46.169999999999995</v>
      </c>
      <c r="O669" s="261"/>
      <c r="P669" s="261"/>
      <c r="Q669" s="16">
        <v>2812222000</v>
      </c>
      <c r="R669" t="s">
        <v>990</v>
      </c>
      <c r="S669" s="349">
        <v>111.10000000000001</v>
      </c>
    </row>
    <row r="670" spans="2:19">
      <c r="B670" s="215">
        <v>2813920039</v>
      </c>
      <c r="E670" s="216">
        <f t="shared" si="132"/>
        <v>87.410000000000011</v>
      </c>
      <c r="F670" s="216">
        <v>65.56</v>
      </c>
      <c r="G670" s="222" t="s">
        <v>1661</v>
      </c>
      <c r="J670" s="49">
        <f t="shared" si="133"/>
        <v>2813920039</v>
      </c>
      <c r="K670" s="217">
        <f t="shared" si="134"/>
        <v>87.410000000000011</v>
      </c>
      <c r="L670" s="282">
        <v>90.74</v>
      </c>
      <c r="M670" s="282">
        <f t="shared" si="131"/>
        <v>65.56</v>
      </c>
      <c r="N670" s="282">
        <f t="shared" si="135"/>
        <v>65.557500000000005</v>
      </c>
      <c r="O670" s="261"/>
      <c r="P670" s="261"/>
      <c r="Q670" s="16">
        <v>2812300000</v>
      </c>
      <c r="R670" t="s">
        <v>1644</v>
      </c>
      <c r="S670" s="349">
        <v>333.57</v>
      </c>
    </row>
    <row r="671" spans="2:19">
      <c r="B671" s="215">
        <v>2813920040</v>
      </c>
      <c r="E671" s="216">
        <f t="shared" si="132"/>
        <v>117.09</v>
      </c>
      <c r="F671" s="216">
        <v>87.82</v>
      </c>
      <c r="G671" s="222" t="s">
        <v>1662</v>
      </c>
      <c r="J671" s="49">
        <f t="shared" si="133"/>
        <v>2813920040</v>
      </c>
      <c r="K671" s="217">
        <f t="shared" si="134"/>
        <v>117.09</v>
      </c>
      <c r="L671" s="282">
        <v>105.66</v>
      </c>
      <c r="M671" s="282">
        <f t="shared" si="131"/>
        <v>87.82</v>
      </c>
      <c r="N671" s="282">
        <f t="shared" si="135"/>
        <v>87.817499999999995</v>
      </c>
      <c r="O671" s="261"/>
      <c r="P671" s="261"/>
      <c r="Q671" s="16">
        <v>2812300200</v>
      </c>
      <c r="R671" t="s">
        <v>992</v>
      </c>
      <c r="S671" s="349">
        <v>76.75</v>
      </c>
    </row>
    <row r="672" spans="2:19">
      <c r="B672" s="215">
        <v>2813920041</v>
      </c>
      <c r="E672" s="216">
        <f t="shared" si="132"/>
        <v>136.34</v>
      </c>
      <c r="F672" s="216">
        <v>102.26</v>
      </c>
      <c r="G672" s="222" t="s">
        <v>1663</v>
      </c>
      <c r="J672" s="49">
        <f t="shared" si="133"/>
        <v>2813920041</v>
      </c>
      <c r="K672" s="217">
        <f t="shared" si="134"/>
        <v>136.34</v>
      </c>
      <c r="L672" s="282">
        <v>40.04</v>
      </c>
      <c r="M672" s="282">
        <f t="shared" ref="M672:M735" si="136">ROUND(N672,2)</f>
        <v>102.26</v>
      </c>
      <c r="N672" s="282">
        <f t="shared" si="135"/>
        <v>102.255</v>
      </c>
      <c r="O672" s="261"/>
      <c r="P672" s="261"/>
      <c r="Q672" s="345">
        <v>2812300300</v>
      </c>
      <c r="R672" s="49" t="s">
        <v>993</v>
      </c>
      <c r="S672" s="349">
        <v>83.89</v>
      </c>
    </row>
    <row r="673" spans="2:19">
      <c r="B673" s="215">
        <v>2813920042</v>
      </c>
      <c r="E673" s="216">
        <f t="shared" si="132"/>
        <v>51.69</v>
      </c>
      <c r="F673" s="216">
        <v>38.770000000000003</v>
      </c>
      <c r="G673" s="222" t="s">
        <v>1664</v>
      </c>
      <c r="J673" s="49">
        <f t="shared" si="133"/>
        <v>2813920042</v>
      </c>
      <c r="K673" s="217">
        <f t="shared" si="134"/>
        <v>51.69</v>
      </c>
      <c r="L673" s="282">
        <v>51.98</v>
      </c>
      <c r="M673" s="282">
        <f t="shared" si="136"/>
        <v>38.770000000000003</v>
      </c>
      <c r="N673" s="282">
        <f t="shared" si="135"/>
        <v>38.767499999999998</v>
      </c>
      <c r="O673" s="261"/>
      <c r="P673" s="261"/>
      <c r="Q673" s="345">
        <v>2812300400</v>
      </c>
      <c r="R673" s="49" t="s">
        <v>994</v>
      </c>
      <c r="S673" s="349">
        <v>80.64</v>
      </c>
    </row>
    <row r="674" spans="2:19">
      <c r="B674" s="215">
        <v>2813920043</v>
      </c>
      <c r="E674" s="216">
        <f t="shared" si="132"/>
        <v>67.070000000000007</v>
      </c>
      <c r="F674" s="216">
        <v>50.3</v>
      </c>
      <c r="G674" s="222" t="s">
        <v>1665</v>
      </c>
      <c r="J674" s="49">
        <f t="shared" si="133"/>
        <v>2813920043</v>
      </c>
      <c r="K674" s="217">
        <f t="shared" si="134"/>
        <v>67.070000000000007</v>
      </c>
      <c r="L674" s="282">
        <v>50.92</v>
      </c>
      <c r="M674" s="282">
        <f t="shared" si="136"/>
        <v>50.3</v>
      </c>
      <c r="N674" s="282">
        <f t="shared" si="135"/>
        <v>50.302500000000009</v>
      </c>
      <c r="O674" s="261"/>
      <c r="P674" s="261"/>
      <c r="Q674" s="345">
        <v>2812300500</v>
      </c>
      <c r="R674" s="49" t="s">
        <v>995</v>
      </c>
      <c r="S674" s="349">
        <v>112.85000000000001</v>
      </c>
    </row>
    <row r="675" spans="2:19">
      <c r="B675" s="215">
        <v>2813920044</v>
      </c>
      <c r="E675" s="216">
        <f t="shared" si="132"/>
        <v>65.72</v>
      </c>
      <c r="F675" s="216">
        <v>49.29</v>
      </c>
      <c r="G675" s="222" t="s">
        <v>1666</v>
      </c>
      <c r="J675" s="49">
        <f t="shared" si="133"/>
        <v>2813920044</v>
      </c>
      <c r="K675" s="217">
        <f t="shared" si="134"/>
        <v>65.72</v>
      </c>
      <c r="L675" s="282">
        <v>135.22999999999999</v>
      </c>
      <c r="M675" s="282">
        <f t="shared" si="136"/>
        <v>49.29</v>
      </c>
      <c r="N675" s="282">
        <f t="shared" si="135"/>
        <v>49.29</v>
      </c>
      <c r="O675" s="261"/>
      <c r="P675" s="261"/>
      <c r="Q675" s="345">
        <v>2812300600</v>
      </c>
      <c r="R675" s="49" t="s">
        <v>996</v>
      </c>
      <c r="S675" s="349">
        <v>73.78</v>
      </c>
    </row>
    <row r="676" spans="2:19">
      <c r="B676" s="215">
        <v>2813920045</v>
      </c>
      <c r="E676" s="216">
        <f t="shared" si="132"/>
        <v>174.48</v>
      </c>
      <c r="F676" s="216">
        <v>130.86000000000001</v>
      </c>
      <c r="G676" s="222" t="s">
        <v>1667</v>
      </c>
      <c r="J676" s="49">
        <f t="shared" si="133"/>
        <v>2813920045</v>
      </c>
      <c r="K676" s="217">
        <f t="shared" si="134"/>
        <v>174.48</v>
      </c>
      <c r="L676" s="282">
        <v>139.68</v>
      </c>
      <c r="M676" s="282">
        <f t="shared" si="136"/>
        <v>130.86000000000001</v>
      </c>
      <c r="N676" s="282">
        <f t="shared" si="135"/>
        <v>130.85999999999999</v>
      </c>
      <c r="O676" s="261"/>
      <c r="P676" s="261"/>
      <c r="Q676" s="345">
        <v>2812302220</v>
      </c>
      <c r="R676" s="49" t="s">
        <v>997</v>
      </c>
      <c r="S676" s="349">
        <v>134.70999999999998</v>
      </c>
    </row>
    <row r="677" spans="2:19">
      <c r="B677" s="215">
        <v>2813920046</v>
      </c>
      <c r="E677" s="216">
        <f t="shared" si="132"/>
        <v>180.23</v>
      </c>
      <c r="F677" s="216">
        <v>135.16999999999999</v>
      </c>
      <c r="G677" s="222" t="s">
        <v>1668</v>
      </c>
      <c r="J677" s="49">
        <f t="shared" si="133"/>
        <v>2813920046</v>
      </c>
      <c r="K677" s="217">
        <f t="shared" si="134"/>
        <v>180.23</v>
      </c>
      <c r="L677" s="282">
        <v>116.45</v>
      </c>
      <c r="M677" s="282">
        <f t="shared" si="136"/>
        <v>135.16999999999999</v>
      </c>
      <c r="N677" s="282">
        <f t="shared" si="135"/>
        <v>135.17249999999999</v>
      </c>
      <c r="O677" s="261"/>
      <c r="P677" s="261"/>
      <c r="Q677" s="345">
        <v>2812302800</v>
      </c>
      <c r="R677" s="49" t="s">
        <v>998</v>
      </c>
      <c r="S677" s="349">
        <v>250.35</v>
      </c>
    </row>
    <row r="678" spans="2:19">
      <c r="B678" s="215">
        <v>2813920047</v>
      </c>
      <c r="E678" s="216">
        <f t="shared" si="132"/>
        <v>150.25</v>
      </c>
      <c r="F678" s="216">
        <v>112.69</v>
      </c>
      <c r="G678" s="222" t="s">
        <v>1669</v>
      </c>
      <c r="J678" s="49">
        <f t="shared" si="133"/>
        <v>2813920047</v>
      </c>
      <c r="K678" s="217">
        <f t="shared" si="134"/>
        <v>150.25</v>
      </c>
      <c r="L678" s="282">
        <v>143.03</v>
      </c>
      <c r="M678" s="282">
        <f t="shared" si="136"/>
        <v>112.69</v>
      </c>
      <c r="N678" s="282">
        <f t="shared" si="135"/>
        <v>112.6875</v>
      </c>
      <c r="O678" s="261"/>
      <c r="P678" s="261"/>
      <c r="Q678" s="16">
        <v>2812305100</v>
      </c>
      <c r="R678" t="s">
        <v>999</v>
      </c>
      <c r="S678" s="349">
        <v>369.09</v>
      </c>
    </row>
    <row r="679" spans="2:19">
      <c r="B679" s="215">
        <v>2813920048</v>
      </c>
      <c r="E679" s="216">
        <f t="shared" si="132"/>
        <v>184.54999999999998</v>
      </c>
      <c r="F679" s="216">
        <v>138.41</v>
      </c>
      <c r="G679" s="222" t="s">
        <v>1670</v>
      </c>
      <c r="J679" s="49">
        <f t="shared" si="133"/>
        <v>2813920048</v>
      </c>
      <c r="K679" s="217">
        <f t="shared" si="134"/>
        <v>184.54999999999998</v>
      </c>
      <c r="L679" s="282">
        <v>154.9</v>
      </c>
      <c r="M679" s="282">
        <f t="shared" si="136"/>
        <v>138.41</v>
      </c>
      <c r="N679" s="282">
        <f t="shared" si="135"/>
        <v>138.41249999999999</v>
      </c>
      <c r="O679" s="261"/>
      <c r="P679" s="261"/>
      <c r="Q679" s="16">
        <v>2812305500</v>
      </c>
      <c r="R679" t="s">
        <v>1000</v>
      </c>
      <c r="S679" s="349">
        <v>440.99</v>
      </c>
    </row>
    <row r="680" spans="2:19">
      <c r="B680" s="215">
        <v>2813920049</v>
      </c>
      <c r="E680" s="216">
        <f t="shared" si="132"/>
        <v>199.85999999999999</v>
      </c>
      <c r="F680" s="216">
        <v>149.9</v>
      </c>
      <c r="G680" s="222" t="s">
        <v>1671</v>
      </c>
      <c r="J680" s="49">
        <f t="shared" si="133"/>
        <v>2813920049</v>
      </c>
      <c r="K680" s="217">
        <f t="shared" si="134"/>
        <v>199.85999999999999</v>
      </c>
      <c r="L680" s="282">
        <v>16.7</v>
      </c>
      <c r="M680" s="282">
        <f t="shared" si="136"/>
        <v>149.9</v>
      </c>
      <c r="N680" s="282">
        <f t="shared" si="135"/>
        <v>149.89499999999998</v>
      </c>
      <c r="O680" s="261"/>
      <c r="P680" s="261"/>
      <c r="Q680" s="345">
        <v>2812306520</v>
      </c>
      <c r="R680" s="49" t="s">
        <v>1001</v>
      </c>
      <c r="S680" s="349">
        <v>87.43</v>
      </c>
    </row>
    <row r="681" spans="2:19">
      <c r="B681" s="215">
        <v>2813930000</v>
      </c>
      <c r="E681" s="216">
        <f t="shared" si="132"/>
        <v>21.55</v>
      </c>
      <c r="F681" s="216">
        <v>16.16</v>
      </c>
      <c r="G681" s="222" t="s">
        <v>1672</v>
      </c>
      <c r="J681" s="49">
        <f t="shared" si="133"/>
        <v>2813930000</v>
      </c>
      <c r="K681" s="217">
        <f t="shared" si="134"/>
        <v>21.55</v>
      </c>
      <c r="L681" s="282">
        <v>21.56</v>
      </c>
      <c r="M681" s="282">
        <f t="shared" si="136"/>
        <v>16.16</v>
      </c>
      <c r="N681" s="282">
        <f t="shared" si="135"/>
        <v>16.162500000000001</v>
      </c>
      <c r="O681" s="261"/>
      <c r="P681" s="261"/>
      <c r="Q681" s="345">
        <v>2812310900</v>
      </c>
      <c r="R681" s="49" t="s">
        <v>1002</v>
      </c>
      <c r="S681" s="349">
        <v>147.54999999999998</v>
      </c>
    </row>
    <row r="682" spans="2:19">
      <c r="B682" s="215">
        <v>2813930001</v>
      </c>
      <c r="E682" s="216">
        <f t="shared" ref="E682:E745" si="137">VLOOKUP(B682,$Q$14:$S$1164,3,FALSE)</f>
        <v>27.84</v>
      </c>
      <c r="F682" s="216">
        <v>20.88</v>
      </c>
      <c r="G682" s="222" t="s">
        <v>1673</v>
      </c>
      <c r="J682" s="49">
        <f t="shared" ref="J682:J745" si="138">B682*$K$13</f>
        <v>2813930001</v>
      </c>
      <c r="K682" s="217">
        <f t="shared" ref="K682:K745" si="139">VLOOKUP(J682,$Q$14:$S$1164,3,FALSE)</f>
        <v>27.84</v>
      </c>
      <c r="L682" s="282">
        <v>19.27</v>
      </c>
      <c r="M682" s="282">
        <f t="shared" si="136"/>
        <v>20.88</v>
      </c>
      <c r="N682" s="282">
        <f t="shared" ref="N682:N745" si="140">K682*$N$13</f>
        <v>20.88</v>
      </c>
      <c r="O682" s="261"/>
      <c r="P682" s="261"/>
      <c r="Q682" s="345">
        <v>2812312220</v>
      </c>
      <c r="R682" s="49" t="s">
        <v>1003</v>
      </c>
      <c r="S682" s="349">
        <v>245.73</v>
      </c>
    </row>
    <row r="683" spans="2:19">
      <c r="B683" s="215">
        <v>2813930002</v>
      </c>
      <c r="E683" s="216">
        <f t="shared" si="137"/>
        <v>24.880000000000003</v>
      </c>
      <c r="F683" s="216">
        <v>18.66</v>
      </c>
      <c r="G683" s="222" t="s">
        <v>1674</v>
      </c>
      <c r="J683" s="49">
        <f t="shared" si="138"/>
        <v>2813930002</v>
      </c>
      <c r="K683" s="217">
        <f t="shared" si="139"/>
        <v>24.880000000000003</v>
      </c>
      <c r="L683" s="282">
        <v>27.34</v>
      </c>
      <c r="M683" s="282">
        <f t="shared" si="136"/>
        <v>18.66</v>
      </c>
      <c r="N683" s="282">
        <f t="shared" si="140"/>
        <v>18.660000000000004</v>
      </c>
      <c r="O683" s="261"/>
      <c r="P683" s="261"/>
      <c r="Q683" s="345">
        <v>2812315400</v>
      </c>
      <c r="R683" s="49" t="s">
        <v>1004</v>
      </c>
      <c r="S683" s="349">
        <v>204.70999999999998</v>
      </c>
    </row>
    <row r="684" spans="2:19">
      <c r="B684" s="215">
        <v>2813930003</v>
      </c>
      <c r="E684" s="216">
        <f t="shared" si="137"/>
        <v>35.29</v>
      </c>
      <c r="F684" s="216">
        <v>26.47</v>
      </c>
      <c r="G684" s="222" t="s">
        <v>1675</v>
      </c>
      <c r="J684" s="49">
        <f t="shared" si="138"/>
        <v>2813930003</v>
      </c>
      <c r="K684" s="217">
        <f t="shared" si="139"/>
        <v>35.29</v>
      </c>
      <c r="L684" s="282">
        <v>33.72</v>
      </c>
      <c r="M684" s="282">
        <f t="shared" si="136"/>
        <v>26.47</v>
      </c>
      <c r="N684" s="282">
        <f t="shared" si="140"/>
        <v>26.467500000000001</v>
      </c>
      <c r="O684" s="261"/>
      <c r="P684" s="261"/>
      <c r="Q684" s="345">
        <v>2812320700</v>
      </c>
      <c r="R684" s="49" t="s">
        <v>1005</v>
      </c>
      <c r="S684" s="349">
        <v>167.72</v>
      </c>
    </row>
    <row r="685" spans="2:19">
      <c r="B685" s="215">
        <v>2813930004</v>
      </c>
      <c r="E685" s="216">
        <f t="shared" si="137"/>
        <v>43.5</v>
      </c>
      <c r="F685" s="216">
        <v>32.630000000000003</v>
      </c>
      <c r="G685" s="222" t="s">
        <v>1676</v>
      </c>
      <c r="J685" s="49">
        <f t="shared" si="138"/>
        <v>2813930004</v>
      </c>
      <c r="K685" s="217">
        <f t="shared" si="139"/>
        <v>43.5</v>
      </c>
      <c r="L685" s="282">
        <v>16.7</v>
      </c>
      <c r="M685" s="282">
        <f t="shared" si="136"/>
        <v>32.630000000000003</v>
      </c>
      <c r="N685" s="282">
        <f t="shared" si="140"/>
        <v>32.625</v>
      </c>
      <c r="O685" s="261"/>
      <c r="P685" s="261"/>
      <c r="Q685" s="345">
        <v>2812321800</v>
      </c>
      <c r="R685" s="49" t="s">
        <v>1006</v>
      </c>
      <c r="S685" s="349">
        <v>144.47</v>
      </c>
    </row>
    <row r="686" spans="2:19">
      <c r="B686" s="215">
        <v>2813930005</v>
      </c>
      <c r="E686" s="216">
        <f t="shared" si="137"/>
        <v>21.55</v>
      </c>
      <c r="F686" s="216">
        <v>16.16</v>
      </c>
      <c r="G686" s="222" t="s">
        <v>1677</v>
      </c>
      <c r="J686" s="49">
        <f t="shared" si="138"/>
        <v>2813930005</v>
      </c>
      <c r="K686" s="217">
        <f t="shared" si="139"/>
        <v>21.55</v>
      </c>
      <c r="L686" s="282">
        <v>21.56</v>
      </c>
      <c r="M686" s="282">
        <f t="shared" si="136"/>
        <v>16.16</v>
      </c>
      <c r="N686" s="282">
        <f t="shared" si="140"/>
        <v>16.162500000000001</v>
      </c>
      <c r="O686" s="261"/>
      <c r="P686" s="261"/>
      <c r="Q686" s="16">
        <v>2812322100</v>
      </c>
      <c r="R686" t="s">
        <v>1007</v>
      </c>
      <c r="S686" s="349">
        <v>28.8</v>
      </c>
    </row>
    <row r="687" spans="2:19">
      <c r="B687" s="215">
        <v>2813930006</v>
      </c>
      <c r="E687" s="216">
        <f t="shared" si="137"/>
        <v>27.84</v>
      </c>
      <c r="F687" s="216">
        <v>20.88</v>
      </c>
      <c r="G687" s="222" t="s">
        <v>1678</v>
      </c>
      <c r="J687" s="49">
        <f t="shared" si="138"/>
        <v>2813930006</v>
      </c>
      <c r="K687" s="217">
        <f t="shared" si="139"/>
        <v>27.84</v>
      </c>
      <c r="L687" s="282">
        <v>19.27</v>
      </c>
      <c r="M687" s="282">
        <f t="shared" si="136"/>
        <v>20.88</v>
      </c>
      <c r="N687" s="282">
        <f t="shared" si="140"/>
        <v>20.88</v>
      </c>
      <c r="O687" s="261"/>
      <c r="P687" s="261"/>
      <c r="Q687" s="16">
        <v>2812331400</v>
      </c>
      <c r="R687" t="s">
        <v>1008</v>
      </c>
      <c r="S687" s="349">
        <v>147.54999999999998</v>
      </c>
    </row>
    <row r="688" spans="2:19">
      <c r="B688" s="215">
        <v>2813930007</v>
      </c>
      <c r="E688" s="216">
        <f t="shared" si="137"/>
        <v>24.880000000000003</v>
      </c>
      <c r="F688" s="216">
        <v>18.66</v>
      </c>
      <c r="G688" s="222" t="s">
        <v>1679</v>
      </c>
      <c r="J688" s="49">
        <f t="shared" si="138"/>
        <v>2813930007</v>
      </c>
      <c r="K688" s="217">
        <f t="shared" si="139"/>
        <v>24.880000000000003</v>
      </c>
      <c r="L688" s="282">
        <v>27.34</v>
      </c>
      <c r="M688" s="282">
        <f t="shared" si="136"/>
        <v>18.66</v>
      </c>
      <c r="N688" s="282">
        <f t="shared" si="140"/>
        <v>18.660000000000004</v>
      </c>
      <c r="O688" s="261"/>
      <c r="P688" s="261"/>
      <c r="Q688" s="16">
        <v>2812331800</v>
      </c>
      <c r="R688" t="s">
        <v>1009</v>
      </c>
      <c r="S688" s="349">
        <v>138.88999999999999</v>
      </c>
    </row>
    <row r="689" spans="2:19">
      <c r="B689" s="215">
        <v>2813930008</v>
      </c>
      <c r="E689" s="216">
        <f t="shared" si="137"/>
        <v>35.29</v>
      </c>
      <c r="F689" s="216">
        <v>26.47</v>
      </c>
      <c r="G689" s="222" t="s">
        <v>1680</v>
      </c>
      <c r="J689" s="49">
        <f t="shared" si="138"/>
        <v>2813930008</v>
      </c>
      <c r="K689" s="217">
        <f t="shared" si="139"/>
        <v>35.29</v>
      </c>
      <c r="L689" s="282">
        <v>33.72</v>
      </c>
      <c r="M689" s="282">
        <f t="shared" si="136"/>
        <v>26.47</v>
      </c>
      <c r="N689" s="282">
        <f t="shared" si="140"/>
        <v>26.467500000000001</v>
      </c>
      <c r="O689" s="261"/>
      <c r="P689" s="261"/>
      <c r="Q689" s="16">
        <v>2812332000</v>
      </c>
      <c r="R689" t="s">
        <v>1010</v>
      </c>
      <c r="S689" s="349">
        <v>138.88999999999999</v>
      </c>
    </row>
    <row r="690" spans="2:19">
      <c r="B690" s="215">
        <v>2813930009</v>
      </c>
      <c r="E690" s="216">
        <f t="shared" si="137"/>
        <v>43.51</v>
      </c>
      <c r="F690" s="216">
        <v>32.630000000000003</v>
      </c>
      <c r="G690" s="222" t="s">
        <v>1681</v>
      </c>
      <c r="J690" s="49">
        <f t="shared" si="138"/>
        <v>2813930009</v>
      </c>
      <c r="K690" s="217">
        <f t="shared" si="139"/>
        <v>43.51</v>
      </c>
      <c r="L690" s="282">
        <v>31.75</v>
      </c>
      <c r="M690" s="282">
        <f t="shared" si="136"/>
        <v>32.630000000000003</v>
      </c>
      <c r="N690" s="282">
        <f t="shared" si="140"/>
        <v>32.6325</v>
      </c>
      <c r="O690" s="261"/>
      <c r="P690" s="261"/>
      <c r="Q690" s="16">
        <v>2812400000</v>
      </c>
      <c r="R690" t="s">
        <v>1011</v>
      </c>
      <c r="S690" s="349">
        <v>263.58</v>
      </c>
    </row>
    <row r="691" spans="2:19">
      <c r="B691" s="215">
        <v>2813930010</v>
      </c>
      <c r="E691" s="216">
        <f t="shared" si="137"/>
        <v>40.97</v>
      </c>
      <c r="F691" s="216">
        <v>30.73</v>
      </c>
      <c r="G691" s="222" t="s">
        <v>1682</v>
      </c>
      <c r="J691" s="49">
        <f t="shared" si="138"/>
        <v>2813930010</v>
      </c>
      <c r="K691" s="217">
        <f t="shared" si="139"/>
        <v>40.97</v>
      </c>
      <c r="L691" s="282">
        <v>17.66</v>
      </c>
      <c r="M691" s="282">
        <f t="shared" si="136"/>
        <v>30.73</v>
      </c>
      <c r="N691" s="282">
        <f t="shared" si="140"/>
        <v>30.727499999999999</v>
      </c>
      <c r="O691" s="261"/>
      <c r="P691" s="261"/>
      <c r="Q691" s="16">
        <v>2812400100</v>
      </c>
      <c r="R691" t="s">
        <v>1012</v>
      </c>
      <c r="S691" s="349">
        <v>302.73</v>
      </c>
    </row>
    <row r="692" spans="2:19">
      <c r="B692" s="215">
        <v>2813930011</v>
      </c>
      <c r="E692" s="216">
        <f t="shared" si="137"/>
        <v>22.8</v>
      </c>
      <c r="F692" s="216">
        <v>17.100000000000001</v>
      </c>
      <c r="G692" s="222" t="s">
        <v>1683</v>
      </c>
      <c r="J692" s="49">
        <f t="shared" si="138"/>
        <v>2813930011</v>
      </c>
      <c r="K692" s="217">
        <f t="shared" si="139"/>
        <v>22.8</v>
      </c>
      <c r="L692" s="282">
        <v>23.67</v>
      </c>
      <c r="M692" s="282">
        <f t="shared" si="136"/>
        <v>17.100000000000001</v>
      </c>
      <c r="N692" s="282">
        <f t="shared" si="140"/>
        <v>17.100000000000001</v>
      </c>
      <c r="O692" s="261"/>
      <c r="P692" s="261"/>
      <c r="Q692" s="16">
        <v>2812400200</v>
      </c>
      <c r="R692" t="s">
        <v>1013</v>
      </c>
      <c r="S692" s="349">
        <v>92.12</v>
      </c>
    </row>
    <row r="693" spans="2:19">
      <c r="B693" s="215">
        <v>2813930012</v>
      </c>
      <c r="E693" s="216">
        <f t="shared" si="137"/>
        <v>30.540000000000003</v>
      </c>
      <c r="F693" s="216">
        <v>22.91</v>
      </c>
      <c r="G693" s="222" t="s">
        <v>1684</v>
      </c>
      <c r="J693" s="49">
        <f t="shared" si="138"/>
        <v>2813930012</v>
      </c>
      <c r="K693" s="217">
        <f t="shared" si="139"/>
        <v>30.540000000000003</v>
      </c>
      <c r="L693" s="282">
        <v>24.55</v>
      </c>
      <c r="M693" s="282">
        <f t="shared" si="136"/>
        <v>22.91</v>
      </c>
      <c r="N693" s="282">
        <f t="shared" si="140"/>
        <v>22.905000000000001</v>
      </c>
      <c r="O693" s="261"/>
      <c r="P693" s="261"/>
      <c r="Q693" s="345">
        <v>2812400300</v>
      </c>
      <c r="R693" s="49" t="s">
        <v>1014</v>
      </c>
      <c r="S693" s="349">
        <v>100.68</v>
      </c>
    </row>
    <row r="694" spans="2:19">
      <c r="B694" s="215">
        <v>2813930013</v>
      </c>
      <c r="E694" s="216">
        <f t="shared" si="137"/>
        <v>31.69</v>
      </c>
      <c r="F694" s="216">
        <v>23.77</v>
      </c>
      <c r="G694" s="222" t="s">
        <v>1685</v>
      </c>
      <c r="J694" s="49">
        <f t="shared" si="138"/>
        <v>2813930013</v>
      </c>
      <c r="K694" s="217">
        <f t="shared" si="139"/>
        <v>31.69</v>
      </c>
      <c r="L694" s="282">
        <v>35.1</v>
      </c>
      <c r="M694" s="282">
        <f t="shared" si="136"/>
        <v>23.77</v>
      </c>
      <c r="N694" s="282">
        <f t="shared" si="140"/>
        <v>23.767500000000002</v>
      </c>
      <c r="O694" s="261"/>
      <c r="P694" s="261"/>
      <c r="Q694" s="345">
        <v>2812400400</v>
      </c>
      <c r="R694" s="49" t="s">
        <v>1015</v>
      </c>
      <c r="S694" s="349">
        <v>96.77000000000001</v>
      </c>
    </row>
    <row r="695" spans="2:19">
      <c r="B695" s="215">
        <v>2813930014</v>
      </c>
      <c r="E695" s="216">
        <f t="shared" si="137"/>
        <v>45.29</v>
      </c>
      <c r="F695" s="216">
        <v>33.97</v>
      </c>
      <c r="G695" s="222" t="s">
        <v>1686</v>
      </c>
      <c r="J695" s="49">
        <f t="shared" si="138"/>
        <v>2813930014</v>
      </c>
      <c r="K695" s="217">
        <f t="shared" si="139"/>
        <v>45.29</v>
      </c>
      <c r="L695" s="282">
        <v>24.09</v>
      </c>
      <c r="M695" s="282">
        <f t="shared" si="136"/>
        <v>33.97</v>
      </c>
      <c r="N695" s="282">
        <f t="shared" si="140"/>
        <v>33.967500000000001</v>
      </c>
      <c r="O695" s="261"/>
      <c r="P695" s="261"/>
      <c r="Q695" s="345">
        <v>2812400500</v>
      </c>
      <c r="R695" s="49" t="s">
        <v>1016</v>
      </c>
      <c r="S695" s="349">
        <v>135.42999999999998</v>
      </c>
    </row>
    <row r="696" spans="2:19">
      <c r="B696" s="215">
        <v>2813930015</v>
      </c>
      <c r="E696" s="216">
        <f t="shared" si="137"/>
        <v>31.09</v>
      </c>
      <c r="F696" s="216">
        <v>23.32</v>
      </c>
      <c r="G696" s="222" t="s">
        <v>1687</v>
      </c>
      <c r="J696" s="49">
        <f t="shared" si="138"/>
        <v>2813930015</v>
      </c>
      <c r="K696" s="217">
        <f t="shared" si="139"/>
        <v>31.09</v>
      </c>
      <c r="L696" s="282">
        <v>51.15</v>
      </c>
      <c r="M696" s="282">
        <f t="shared" si="136"/>
        <v>23.32</v>
      </c>
      <c r="N696" s="282">
        <f t="shared" si="140"/>
        <v>23.317499999999999</v>
      </c>
      <c r="O696" s="261"/>
      <c r="P696" s="261"/>
      <c r="Q696" s="345">
        <v>2812400600</v>
      </c>
      <c r="R696" s="49" t="s">
        <v>1017</v>
      </c>
      <c r="S696" s="349">
        <v>92.12</v>
      </c>
    </row>
    <row r="697" spans="2:19">
      <c r="B697" s="215">
        <v>2813930016</v>
      </c>
      <c r="E697" s="216">
        <f t="shared" si="137"/>
        <v>66.010000000000005</v>
      </c>
      <c r="F697" s="216">
        <v>49.51</v>
      </c>
      <c r="G697" s="222" t="s">
        <v>1688</v>
      </c>
      <c r="J697" s="49">
        <f t="shared" si="138"/>
        <v>2813930016</v>
      </c>
      <c r="K697" s="217">
        <f t="shared" si="139"/>
        <v>66.010000000000005</v>
      </c>
      <c r="L697" s="282">
        <v>34.96</v>
      </c>
      <c r="M697" s="282">
        <f t="shared" si="136"/>
        <v>49.51</v>
      </c>
      <c r="N697" s="282">
        <f t="shared" si="140"/>
        <v>49.507500000000007</v>
      </c>
      <c r="O697" s="261"/>
      <c r="P697" s="261"/>
      <c r="Q697" s="345">
        <v>2812402220</v>
      </c>
      <c r="R697" s="49" t="s">
        <v>1018</v>
      </c>
      <c r="S697" s="349">
        <v>88.54</v>
      </c>
    </row>
    <row r="698" spans="2:19">
      <c r="B698" s="215">
        <v>2813930017</v>
      </c>
      <c r="E698" s="216">
        <f t="shared" si="137"/>
        <v>45.1</v>
      </c>
      <c r="F698" s="216">
        <v>33.83</v>
      </c>
      <c r="G698" s="222" t="s">
        <v>1689</v>
      </c>
      <c r="J698" s="49">
        <f t="shared" si="138"/>
        <v>2813930017</v>
      </c>
      <c r="K698" s="217">
        <f t="shared" si="139"/>
        <v>45.1</v>
      </c>
      <c r="L698" s="282">
        <v>70.819999999999993</v>
      </c>
      <c r="M698" s="282">
        <f t="shared" si="136"/>
        <v>33.83</v>
      </c>
      <c r="N698" s="282">
        <f t="shared" si="140"/>
        <v>33.825000000000003</v>
      </c>
      <c r="O698" s="261"/>
      <c r="P698" s="261"/>
      <c r="Q698" s="16">
        <v>2812402800</v>
      </c>
      <c r="R698" t="s">
        <v>1019</v>
      </c>
      <c r="S698" s="349">
        <v>1685.99</v>
      </c>
    </row>
    <row r="699" spans="2:19">
      <c r="B699" s="215">
        <v>2813930018</v>
      </c>
      <c r="E699" s="216">
        <f t="shared" si="137"/>
        <v>91.4</v>
      </c>
      <c r="F699" s="216">
        <v>68.55</v>
      </c>
      <c r="G699" s="222" t="s">
        <v>1690</v>
      </c>
      <c r="J699" s="49">
        <f t="shared" si="138"/>
        <v>2813930018</v>
      </c>
      <c r="K699" s="217">
        <f t="shared" si="139"/>
        <v>91.4</v>
      </c>
      <c r="L699" s="282">
        <v>48.72</v>
      </c>
      <c r="M699" s="282">
        <f t="shared" si="136"/>
        <v>68.55</v>
      </c>
      <c r="N699" s="282">
        <f t="shared" si="140"/>
        <v>68.550000000000011</v>
      </c>
      <c r="O699" s="261"/>
      <c r="P699" s="261"/>
      <c r="Q699" s="16">
        <v>2812405100</v>
      </c>
      <c r="R699" t="s">
        <v>1020</v>
      </c>
      <c r="S699" s="349">
        <v>488.46</v>
      </c>
    </row>
    <row r="700" spans="2:19">
      <c r="B700" s="215">
        <v>2813930019</v>
      </c>
      <c r="E700" s="216">
        <f t="shared" si="137"/>
        <v>62.87</v>
      </c>
      <c r="F700" s="216">
        <v>47.15</v>
      </c>
      <c r="G700" s="222" t="s">
        <v>1691</v>
      </c>
      <c r="J700" s="49">
        <f t="shared" si="138"/>
        <v>2813930019</v>
      </c>
      <c r="K700" s="217">
        <f t="shared" si="139"/>
        <v>62.87</v>
      </c>
      <c r="L700" s="282">
        <v>96.89</v>
      </c>
      <c r="M700" s="282">
        <f t="shared" si="136"/>
        <v>47.15</v>
      </c>
      <c r="N700" s="282">
        <f t="shared" si="140"/>
        <v>47.152499999999996</v>
      </c>
      <c r="O700" s="261"/>
      <c r="P700" s="261"/>
      <c r="Q700" s="16">
        <v>2812405500</v>
      </c>
      <c r="R700" t="s">
        <v>1021</v>
      </c>
      <c r="S700" s="349">
        <v>525.42999999999995</v>
      </c>
    </row>
    <row r="701" spans="2:19">
      <c r="B701" s="215">
        <v>2813930020</v>
      </c>
      <c r="E701" s="216">
        <f t="shared" si="137"/>
        <v>125</v>
      </c>
      <c r="F701" s="216">
        <v>93.75</v>
      </c>
      <c r="G701" s="222" t="s">
        <v>1692</v>
      </c>
      <c r="J701" s="49">
        <f t="shared" si="138"/>
        <v>2813930020</v>
      </c>
      <c r="K701" s="217">
        <f t="shared" si="139"/>
        <v>125</v>
      </c>
      <c r="L701" s="282">
        <v>43.67</v>
      </c>
      <c r="M701" s="282">
        <f t="shared" si="136"/>
        <v>93.75</v>
      </c>
      <c r="N701" s="282">
        <f t="shared" si="140"/>
        <v>93.75</v>
      </c>
      <c r="O701" s="261"/>
      <c r="P701" s="261"/>
      <c r="Q701" s="345">
        <v>2812406520</v>
      </c>
      <c r="R701" s="213" t="s">
        <v>1022</v>
      </c>
      <c r="S701" s="349">
        <v>125.7</v>
      </c>
    </row>
    <row r="702" spans="2:19">
      <c r="B702" s="215">
        <v>2813930021</v>
      </c>
      <c r="E702" s="216">
        <f t="shared" si="137"/>
        <v>56.35</v>
      </c>
      <c r="F702" s="216">
        <v>42.26</v>
      </c>
      <c r="G702" s="222" t="s">
        <v>1693</v>
      </c>
      <c r="J702" s="49">
        <f t="shared" si="138"/>
        <v>2813930021</v>
      </c>
      <c r="K702" s="217">
        <f t="shared" si="139"/>
        <v>56.35</v>
      </c>
      <c r="L702" s="282">
        <v>28.22</v>
      </c>
      <c r="M702" s="282">
        <f t="shared" si="136"/>
        <v>42.26</v>
      </c>
      <c r="N702" s="282">
        <f t="shared" si="140"/>
        <v>42.262500000000003</v>
      </c>
      <c r="O702" s="261"/>
      <c r="P702" s="261"/>
      <c r="Q702" s="345">
        <v>2812410900</v>
      </c>
      <c r="R702" s="49" t="s">
        <v>1023</v>
      </c>
      <c r="S702" s="349">
        <v>184.14999999999998</v>
      </c>
    </row>
    <row r="703" spans="2:19">
      <c r="B703" s="215">
        <v>2813930022</v>
      </c>
      <c r="E703" s="216">
        <f t="shared" si="137"/>
        <v>36.4</v>
      </c>
      <c r="F703" s="216">
        <v>27.3</v>
      </c>
      <c r="G703" s="222" t="s">
        <v>1694</v>
      </c>
      <c r="J703" s="49">
        <f t="shared" si="138"/>
        <v>2813930022</v>
      </c>
      <c r="K703" s="217">
        <f t="shared" si="139"/>
        <v>36.4</v>
      </c>
      <c r="L703" s="282">
        <v>58.22</v>
      </c>
      <c r="M703" s="282">
        <f t="shared" si="136"/>
        <v>27.3</v>
      </c>
      <c r="N703" s="282">
        <f t="shared" si="140"/>
        <v>27.299999999999997</v>
      </c>
      <c r="O703" s="261"/>
      <c r="P703" s="261"/>
      <c r="Q703" s="345">
        <v>2812412220</v>
      </c>
      <c r="R703" s="49" t="s">
        <v>1024</v>
      </c>
      <c r="S703" s="349">
        <v>256.96999999999997</v>
      </c>
    </row>
    <row r="704" spans="2:19">
      <c r="B704" s="215">
        <v>2813930023</v>
      </c>
      <c r="E704" s="216">
        <f t="shared" si="137"/>
        <v>75.12</v>
      </c>
      <c r="F704" s="216">
        <v>56.34</v>
      </c>
      <c r="G704" s="222" t="s">
        <v>1695</v>
      </c>
      <c r="J704" s="49">
        <f t="shared" si="138"/>
        <v>2813930023</v>
      </c>
      <c r="K704" s="217">
        <f t="shared" si="139"/>
        <v>75.12</v>
      </c>
      <c r="L704" s="282">
        <v>46.88</v>
      </c>
      <c r="M704" s="282">
        <f t="shared" si="136"/>
        <v>56.34</v>
      </c>
      <c r="N704" s="282">
        <f t="shared" si="140"/>
        <v>56.34</v>
      </c>
      <c r="O704" s="261"/>
      <c r="P704" s="261"/>
      <c r="Q704" s="345">
        <v>2812415400</v>
      </c>
      <c r="R704" s="49" t="s">
        <v>1025</v>
      </c>
      <c r="S704" s="349">
        <v>263.12</v>
      </c>
    </row>
    <row r="705" spans="2:19">
      <c r="B705" s="215">
        <v>2813930024</v>
      </c>
      <c r="E705" s="216">
        <f t="shared" si="137"/>
        <v>60.5</v>
      </c>
      <c r="F705" s="216">
        <v>45.38</v>
      </c>
      <c r="G705" s="222" t="s">
        <v>1696</v>
      </c>
      <c r="J705" s="49">
        <f t="shared" si="138"/>
        <v>2813930024</v>
      </c>
      <c r="K705" s="217">
        <f t="shared" si="139"/>
        <v>60.5</v>
      </c>
      <c r="L705" s="282">
        <v>93.26</v>
      </c>
      <c r="M705" s="282">
        <f t="shared" si="136"/>
        <v>45.38</v>
      </c>
      <c r="N705" s="282">
        <f t="shared" si="140"/>
        <v>45.375</v>
      </c>
      <c r="O705" s="261"/>
      <c r="P705" s="261"/>
      <c r="Q705" s="345">
        <v>2812430700</v>
      </c>
      <c r="R705" s="49" t="s">
        <v>1026</v>
      </c>
      <c r="S705" s="349">
        <v>193.48999999999998</v>
      </c>
    </row>
    <row r="706" spans="2:19">
      <c r="B706" s="215">
        <v>2813930025</v>
      </c>
      <c r="E706" s="216">
        <f t="shared" si="137"/>
        <v>120.35000000000001</v>
      </c>
      <c r="F706" s="216">
        <v>90.26</v>
      </c>
      <c r="G706" s="222" t="s">
        <v>1697</v>
      </c>
      <c r="J706" s="49">
        <f t="shared" si="138"/>
        <v>2813930025</v>
      </c>
      <c r="K706" s="217">
        <f t="shared" si="139"/>
        <v>120.35000000000001</v>
      </c>
      <c r="L706" s="282">
        <v>66.47</v>
      </c>
      <c r="M706" s="282">
        <f t="shared" si="136"/>
        <v>90.26</v>
      </c>
      <c r="N706" s="282">
        <f t="shared" si="140"/>
        <v>90.262500000000003</v>
      </c>
      <c r="O706" s="261"/>
      <c r="P706" s="261"/>
      <c r="Q706" s="16">
        <v>2812431800</v>
      </c>
      <c r="R706" t="s">
        <v>1027</v>
      </c>
      <c r="S706" s="349">
        <v>166.66</v>
      </c>
    </row>
    <row r="707" spans="2:19">
      <c r="B707" s="215">
        <v>2813930026</v>
      </c>
      <c r="E707" s="216">
        <f t="shared" si="137"/>
        <v>85.76</v>
      </c>
      <c r="F707" s="216">
        <v>64.319999999999993</v>
      </c>
      <c r="G707" s="222" t="s">
        <v>1698</v>
      </c>
      <c r="J707" s="49">
        <f t="shared" si="138"/>
        <v>2813930026</v>
      </c>
      <c r="K707" s="217">
        <f t="shared" si="139"/>
        <v>85.76</v>
      </c>
      <c r="L707" s="282">
        <v>132.47</v>
      </c>
      <c r="M707" s="282">
        <f t="shared" si="136"/>
        <v>64.319999999999993</v>
      </c>
      <c r="N707" s="282">
        <f t="shared" si="140"/>
        <v>64.320000000000007</v>
      </c>
      <c r="O707" s="261"/>
      <c r="P707" s="261"/>
      <c r="Q707" s="16">
        <v>2812432100</v>
      </c>
      <c r="R707" t="s">
        <v>1028</v>
      </c>
      <c r="S707" s="349">
        <v>32.43</v>
      </c>
    </row>
    <row r="708" spans="2:19">
      <c r="B708" s="215">
        <v>2813930027</v>
      </c>
      <c r="E708" s="216">
        <f t="shared" si="137"/>
        <v>170.92</v>
      </c>
      <c r="F708" s="216">
        <v>128.19</v>
      </c>
      <c r="G708" s="222" t="s">
        <v>1699</v>
      </c>
      <c r="J708" s="49">
        <f t="shared" si="138"/>
        <v>2813930027</v>
      </c>
      <c r="K708" s="217">
        <f t="shared" si="139"/>
        <v>170.92</v>
      </c>
      <c r="L708" s="282">
        <v>117.75</v>
      </c>
      <c r="M708" s="282">
        <f t="shared" si="136"/>
        <v>128.19</v>
      </c>
      <c r="N708" s="282">
        <f t="shared" si="140"/>
        <v>128.19</v>
      </c>
      <c r="O708" s="261"/>
      <c r="P708" s="261"/>
      <c r="Q708" s="16">
        <v>2812441400</v>
      </c>
      <c r="R708" t="s">
        <v>1029</v>
      </c>
      <c r="S708" s="349">
        <v>177.04999999999998</v>
      </c>
    </row>
    <row r="709" spans="2:19">
      <c r="B709" s="215">
        <v>2813930028</v>
      </c>
      <c r="E709" s="216">
        <f t="shared" si="137"/>
        <v>151.94</v>
      </c>
      <c r="F709" s="216">
        <v>113.96</v>
      </c>
      <c r="G709" s="222" t="s">
        <v>1700</v>
      </c>
      <c r="J709" s="49">
        <f t="shared" si="138"/>
        <v>2813930028</v>
      </c>
      <c r="K709" s="217">
        <f t="shared" si="139"/>
        <v>151.94</v>
      </c>
      <c r="L709" s="282">
        <v>235.1</v>
      </c>
      <c r="M709" s="282">
        <f t="shared" si="136"/>
        <v>113.96</v>
      </c>
      <c r="N709" s="282">
        <f t="shared" si="140"/>
        <v>113.955</v>
      </c>
      <c r="O709" s="261"/>
      <c r="P709" s="261"/>
      <c r="Q709" s="16">
        <v>2812441800</v>
      </c>
      <c r="R709" t="s">
        <v>1030</v>
      </c>
      <c r="S709" s="349">
        <v>173.35</v>
      </c>
    </row>
    <row r="710" spans="2:19">
      <c r="B710" s="215">
        <v>2813930029</v>
      </c>
      <c r="E710" s="216">
        <f t="shared" si="137"/>
        <v>303.33999999999997</v>
      </c>
      <c r="F710" s="216">
        <v>227.51</v>
      </c>
      <c r="G710" s="222" t="s">
        <v>1701</v>
      </c>
      <c r="J710" s="49">
        <f t="shared" si="138"/>
        <v>2813930029</v>
      </c>
      <c r="K710" s="217">
        <f t="shared" si="139"/>
        <v>303.33999999999997</v>
      </c>
      <c r="L710" s="282">
        <v>101.33</v>
      </c>
      <c r="M710" s="282">
        <f t="shared" si="136"/>
        <v>227.51</v>
      </c>
      <c r="N710" s="282">
        <f t="shared" si="140"/>
        <v>227.505</v>
      </c>
      <c r="O710" s="261"/>
      <c r="P710" s="261"/>
      <c r="Q710" s="16">
        <v>2812442000</v>
      </c>
      <c r="R710" t="s">
        <v>1031</v>
      </c>
      <c r="S710" s="349">
        <v>173.35</v>
      </c>
    </row>
    <row r="711" spans="2:19">
      <c r="B711" s="215">
        <v>2813930030</v>
      </c>
      <c r="E711" s="216">
        <f t="shared" si="137"/>
        <v>130.76</v>
      </c>
      <c r="F711" s="216">
        <v>98.07</v>
      </c>
      <c r="G711" s="222" t="s">
        <v>1702</v>
      </c>
      <c r="J711" s="49">
        <f t="shared" si="138"/>
        <v>2813930030</v>
      </c>
      <c r="K711" s="217">
        <f t="shared" si="139"/>
        <v>130.76</v>
      </c>
      <c r="L711" s="282">
        <v>157.34</v>
      </c>
      <c r="M711" s="282">
        <f t="shared" si="136"/>
        <v>98.07</v>
      </c>
      <c r="N711" s="282">
        <f t="shared" si="140"/>
        <v>98.07</v>
      </c>
      <c r="O711" s="261"/>
      <c r="P711" s="261"/>
      <c r="Q711" s="16">
        <v>2812452800</v>
      </c>
      <c r="R711" t="s">
        <v>1032</v>
      </c>
      <c r="S711" s="349">
        <v>203.19</v>
      </c>
    </row>
    <row r="712" spans="2:19">
      <c r="B712" s="215">
        <v>2813930031</v>
      </c>
      <c r="E712" s="216">
        <f t="shared" si="137"/>
        <v>203</v>
      </c>
      <c r="F712" s="216">
        <v>152.25</v>
      </c>
      <c r="G712" s="222" t="s">
        <v>1703</v>
      </c>
      <c r="J712" s="49">
        <f t="shared" si="138"/>
        <v>2813930031</v>
      </c>
      <c r="K712" s="217">
        <f t="shared" si="139"/>
        <v>203</v>
      </c>
      <c r="L712" s="282">
        <v>21.06</v>
      </c>
      <c r="M712" s="282">
        <f t="shared" si="136"/>
        <v>152.25</v>
      </c>
      <c r="N712" s="282">
        <f t="shared" si="140"/>
        <v>152.25</v>
      </c>
      <c r="O712" s="261"/>
      <c r="P712" s="261"/>
      <c r="Q712" s="16">
        <v>2812500000</v>
      </c>
      <c r="R712" t="s">
        <v>1033</v>
      </c>
      <c r="S712" s="349">
        <v>338.89</v>
      </c>
    </row>
    <row r="713" spans="2:19">
      <c r="B713" s="215">
        <v>2813940000</v>
      </c>
      <c r="E713" s="216">
        <f t="shared" si="137"/>
        <v>27.180000000000003</v>
      </c>
      <c r="F713" s="216">
        <v>20.39</v>
      </c>
      <c r="G713" s="222" t="s">
        <v>1704</v>
      </c>
      <c r="J713" s="49">
        <f t="shared" si="138"/>
        <v>2813940000</v>
      </c>
      <c r="K713" s="217">
        <f t="shared" si="139"/>
        <v>27.180000000000003</v>
      </c>
      <c r="L713" s="282">
        <v>38.26</v>
      </c>
      <c r="M713" s="282">
        <f t="shared" si="136"/>
        <v>20.39</v>
      </c>
      <c r="N713" s="282">
        <f t="shared" si="140"/>
        <v>20.385000000000002</v>
      </c>
      <c r="O713" s="261"/>
      <c r="P713" s="261"/>
      <c r="Q713" s="16">
        <v>2812500200</v>
      </c>
      <c r="R713" t="s">
        <v>1034</v>
      </c>
      <c r="S713" s="349">
        <v>117.01</v>
      </c>
    </row>
    <row r="714" spans="2:19">
      <c r="B714" s="215">
        <v>2813940001</v>
      </c>
      <c r="E714" s="216">
        <f t="shared" si="137"/>
        <v>49.37</v>
      </c>
      <c r="F714" s="216">
        <v>37.03</v>
      </c>
      <c r="G714" s="222" t="s">
        <v>1705</v>
      </c>
      <c r="J714" s="49">
        <f t="shared" si="138"/>
        <v>2813940001</v>
      </c>
      <c r="K714" s="217">
        <f t="shared" si="139"/>
        <v>49.37</v>
      </c>
      <c r="L714" s="282">
        <v>52.94</v>
      </c>
      <c r="M714" s="282">
        <f t="shared" si="136"/>
        <v>37.03</v>
      </c>
      <c r="N714" s="282">
        <f t="shared" si="140"/>
        <v>37.027499999999996</v>
      </c>
      <c r="O714" s="261"/>
      <c r="P714" s="261"/>
      <c r="Q714" s="16">
        <v>2812500300</v>
      </c>
      <c r="R714" t="s">
        <v>1035</v>
      </c>
      <c r="S714" s="349">
        <v>127.87</v>
      </c>
    </row>
    <row r="715" spans="2:19">
      <c r="B715" s="215">
        <v>2813940002</v>
      </c>
      <c r="E715" s="216">
        <f t="shared" si="137"/>
        <v>68.31</v>
      </c>
      <c r="F715" s="216">
        <v>51.23</v>
      </c>
      <c r="G715" s="222" t="s">
        <v>1706</v>
      </c>
      <c r="J715" s="49">
        <f t="shared" si="138"/>
        <v>2813940002</v>
      </c>
      <c r="K715" s="217">
        <f t="shared" si="139"/>
        <v>68.31</v>
      </c>
      <c r="L715" s="282">
        <v>51.52</v>
      </c>
      <c r="M715" s="282">
        <f t="shared" si="136"/>
        <v>51.23</v>
      </c>
      <c r="N715" s="282">
        <f t="shared" si="140"/>
        <v>51.232500000000002</v>
      </c>
      <c r="O715" s="261"/>
      <c r="P715" s="261"/>
      <c r="Q715" s="345">
        <v>2812500400</v>
      </c>
      <c r="R715" s="49" t="s">
        <v>1036</v>
      </c>
      <c r="S715" s="349">
        <v>127.87</v>
      </c>
    </row>
    <row r="716" spans="2:19">
      <c r="B716" s="215">
        <v>2813940003</v>
      </c>
      <c r="E716" s="216">
        <f t="shared" si="137"/>
        <v>66.5</v>
      </c>
      <c r="F716" s="216">
        <v>49.88</v>
      </c>
      <c r="G716" s="222" t="s">
        <v>1707</v>
      </c>
      <c r="J716" s="49">
        <f t="shared" si="138"/>
        <v>2813940003</v>
      </c>
      <c r="K716" s="217">
        <f t="shared" si="139"/>
        <v>66.5</v>
      </c>
      <c r="L716" s="282">
        <v>11.97</v>
      </c>
      <c r="M716" s="282">
        <f t="shared" si="136"/>
        <v>49.88</v>
      </c>
      <c r="N716" s="282">
        <f t="shared" si="140"/>
        <v>49.875</v>
      </c>
      <c r="O716" s="261"/>
      <c r="P716" s="261"/>
      <c r="Q716" s="345">
        <v>2812500500</v>
      </c>
      <c r="R716" s="49" t="s">
        <v>1037</v>
      </c>
      <c r="S716" s="349">
        <v>174.12</v>
      </c>
    </row>
    <row r="717" spans="2:19">
      <c r="B717" s="215">
        <v>2813940004</v>
      </c>
      <c r="E717" s="216">
        <f t="shared" si="137"/>
        <v>15.43</v>
      </c>
      <c r="F717" s="216">
        <v>11.57</v>
      </c>
      <c r="G717" s="222" t="s">
        <v>1708</v>
      </c>
      <c r="J717" s="49">
        <f t="shared" si="138"/>
        <v>2813940004</v>
      </c>
      <c r="K717" s="217">
        <f t="shared" si="139"/>
        <v>15.43</v>
      </c>
      <c r="L717" s="282">
        <v>15.71</v>
      </c>
      <c r="M717" s="282">
        <f t="shared" si="136"/>
        <v>11.57</v>
      </c>
      <c r="N717" s="282">
        <f t="shared" si="140"/>
        <v>11.5725</v>
      </c>
      <c r="O717" s="261"/>
      <c r="P717" s="261"/>
      <c r="Q717" s="345">
        <v>2812500600</v>
      </c>
      <c r="R717" s="49" t="s">
        <v>1038</v>
      </c>
      <c r="S717" s="349">
        <v>117.01</v>
      </c>
    </row>
    <row r="718" spans="2:19">
      <c r="B718" s="215">
        <v>2813940005</v>
      </c>
      <c r="E718" s="216">
        <f t="shared" si="137"/>
        <v>20.260000000000002</v>
      </c>
      <c r="F718" s="216">
        <v>15.2</v>
      </c>
      <c r="G718" s="222" t="s">
        <v>1709</v>
      </c>
      <c r="J718" s="49">
        <f t="shared" si="138"/>
        <v>2813940005</v>
      </c>
      <c r="K718" s="217">
        <f t="shared" si="139"/>
        <v>20.260000000000002</v>
      </c>
      <c r="L718" s="282">
        <v>19.850000000000001</v>
      </c>
      <c r="M718" s="282">
        <f t="shared" si="136"/>
        <v>15.2</v>
      </c>
      <c r="N718" s="282">
        <f t="shared" si="140"/>
        <v>15.195</v>
      </c>
      <c r="O718" s="261"/>
      <c r="P718" s="261"/>
      <c r="Q718" s="345">
        <v>2812502220</v>
      </c>
      <c r="R718" s="49" t="s">
        <v>1039</v>
      </c>
      <c r="S718" s="349">
        <v>175.57</v>
      </c>
    </row>
    <row r="719" spans="2:19">
      <c r="B719" s="215">
        <v>2813940006</v>
      </c>
      <c r="E719" s="216">
        <f t="shared" si="137"/>
        <v>25.62</v>
      </c>
      <c r="F719" s="216">
        <v>19.22</v>
      </c>
      <c r="G719" s="222" t="s">
        <v>1710</v>
      </c>
      <c r="J719" s="49">
        <f t="shared" si="138"/>
        <v>2813940006</v>
      </c>
      <c r="K719" s="217">
        <f t="shared" si="139"/>
        <v>25.62</v>
      </c>
      <c r="L719" s="282">
        <v>7.33</v>
      </c>
      <c r="M719" s="282">
        <f t="shared" si="136"/>
        <v>19.22</v>
      </c>
      <c r="N719" s="282">
        <f t="shared" si="140"/>
        <v>19.215</v>
      </c>
      <c r="O719" s="261"/>
      <c r="P719" s="261"/>
      <c r="Q719" s="345">
        <v>2812502800</v>
      </c>
      <c r="R719" s="352" t="s">
        <v>1040</v>
      </c>
      <c r="S719" s="349">
        <v>766.4</v>
      </c>
    </row>
    <row r="720" spans="2:19">
      <c r="B720" s="215">
        <v>2813940007</v>
      </c>
      <c r="E720" s="216">
        <f t="shared" si="137"/>
        <v>9.4700000000000006</v>
      </c>
      <c r="F720" s="216">
        <v>7.1</v>
      </c>
      <c r="G720" s="222" t="s">
        <v>1711</v>
      </c>
      <c r="J720" s="49">
        <f t="shared" si="138"/>
        <v>2813940007</v>
      </c>
      <c r="K720" s="217">
        <f t="shared" si="139"/>
        <v>9.4700000000000006</v>
      </c>
      <c r="L720" s="282">
        <v>11.57</v>
      </c>
      <c r="M720" s="282">
        <f t="shared" si="136"/>
        <v>7.1</v>
      </c>
      <c r="N720" s="282">
        <f t="shared" si="140"/>
        <v>7.1025000000000009</v>
      </c>
      <c r="O720" s="261"/>
      <c r="P720" s="261"/>
      <c r="Q720" s="345">
        <v>2812505100</v>
      </c>
      <c r="R720" s="352" t="s">
        <v>1041</v>
      </c>
      <c r="S720" s="349">
        <v>677.79</v>
      </c>
    </row>
    <row r="721" spans="2:19">
      <c r="B721" s="215">
        <v>2813940008</v>
      </c>
      <c r="E721" s="216">
        <f t="shared" si="137"/>
        <v>14.94</v>
      </c>
      <c r="F721" s="216">
        <v>11.21</v>
      </c>
      <c r="G721" s="222" t="s">
        <v>1712</v>
      </c>
      <c r="J721" s="49">
        <f t="shared" si="138"/>
        <v>2813940008</v>
      </c>
      <c r="K721" s="217">
        <f t="shared" si="139"/>
        <v>14.94</v>
      </c>
      <c r="L721" s="282">
        <v>15.81</v>
      </c>
      <c r="M721" s="282">
        <f t="shared" si="136"/>
        <v>11.21</v>
      </c>
      <c r="N721" s="282">
        <f t="shared" si="140"/>
        <v>11.205</v>
      </c>
      <c r="O721" s="261"/>
      <c r="P721" s="261"/>
      <c r="Q721" s="16">
        <v>2812505500</v>
      </c>
      <c r="R721" s="349" t="s">
        <v>1042</v>
      </c>
      <c r="S721" s="349">
        <v>648.21</v>
      </c>
    </row>
    <row r="722" spans="2:19">
      <c r="B722" s="215">
        <v>2813940009</v>
      </c>
      <c r="E722" s="216">
        <f t="shared" si="137"/>
        <v>20.420000000000002</v>
      </c>
      <c r="F722" s="216">
        <v>15.32</v>
      </c>
      <c r="G722" s="222" t="s">
        <v>1713</v>
      </c>
      <c r="J722" s="49">
        <f t="shared" si="138"/>
        <v>2813940009</v>
      </c>
      <c r="K722" s="217">
        <f t="shared" si="139"/>
        <v>20.420000000000002</v>
      </c>
      <c r="L722" s="282">
        <v>40.03</v>
      </c>
      <c r="M722" s="282">
        <f t="shared" si="136"/>
        <v>15.32</v>
      </c>
      <c r="N722" s="282">
        <f t="shared" si="140"/>
        <v>15.315000000000001</v>
      </c>
      <c r="O722" s="261"/>
      <c r="P722" s="261"/>
      <c r="Q722" s="345">
        <v>2812506520</v>
      </c>
      <c r="R722" s="213" t="s">
        <v>1043</v>
      </c>
      <c r="S722" s="349">
        <v>151.20999999999998</v>
      </c>
    </row>
    <row r="723" spans="2:19">
      <c r="B723" s="215">
        <v>2813940010</v>
      </c>
      <c r="E723" s="216">
        <f t="shared" si="137"/>
        <v>51.65</v>
      </c>
      <c r="F723" s="216">
        <v>38.74</v>
      </c>
      <c r="G723" s="222" t="s">
        <v>1714</v>
      </c>
      <c r="J723" s="49">
        <f t="shared" si="138"/>
        <v>2813940010</v>
      </c>
      <c r="K723" s="217">
        <f t="shared" si="139"/>
        <v>51.65</v>
      </c>
      <c r="L723" s="282">
        <v>43.15</v>
      </c>
      <c r="M723" s="282">
        <f t="shared" si="136"/>
        <v>38.74</v>
      </c>
      <c r="N723" s="282">
        <f t="shared" si="140"/>
        <v>38.737499999999997</v>
      </c>
      <c r="O723" s="261"/>
      <c r="P723" s="261"/>
      <c r="Q723" s="345">
        <v>2812510900</v>
      </c>
      <c r="R723" s="49" t="s">
        <v>1044</v>
      </c>
      <c r="S723" s="349">
        <v>236.76999999999998</v>
      </c>
    </row>
    <row r="724" spans="2:19">
      <c r="B724" s="215">
        <v>2813940011</v>
      </c>
      <c r="E724" s="216">
        <f t="shared" si="137"/>
        <v>55.669999999999995</v>
      </c>
      <c r="F724" s="216">
        <v>41.75</v>
      </c>
      <c r="G724" s="222" t="s">
        <v>1715</v>
      </c>
      <c r="J724" s="49">
        <f t="shared" si="138"/>
        <v>2813940011</v>
      </c>
      <c r="K724" s="217">
        <f t="shared" si="139"/>
        <v>55.669999999999995</v>
      </c>
      <c r="L724" s="282">
        <v>43.96</v>
      </c>
      <c r="M724" s="282">
        <f t="shared" si="136"/>
        <v>41.75</v>
      </c>
      <c r="N724" s="282">
        <f t="shared" si="140"/>
        <v>41.752499999999998</v>
      </c>
      <c r="O724" s="261"/>
      <c r="P724" s="261"/>
      <c r="Q724" s="345">
        <v>2812512220</v>
      </c>
      <c r="R724" s="49" t="s">
        <v>1045</v>
      </c>
      <c r="S724" s="349">
        <v>277.21999999999997</v>
      </c>
    </row>
    <row r="725" spans="2:19">
      <c r="B725" s="215">
        <v>2813940012</v>
      </c>
      <c r="E725" s="216">
        <f t="shared" si="137"/>
        <v>56.72</v>
      </c>
      <c r="F725" s="216">
        <v>42.54</v>
      </c>
      <c r="G725" s="222" t="s">
        <v>1716</v>
      </c>
      <c r="J725" s="49">
        <f t="shared" si="138"/>
        <v>2813940012</v>
      </c>
      <c r="K725" s="217">
        <f t="shared" si="139"/>
        <v>56.72</v>
      </c>
      <c r="L725" s="282">
        <v>48.65</v>
      </c>
      <c r="M725" s="282">
        <f t="shared" si="136"/>
        <v>42.54</v>
      </c>
      <c r="N725" s="282">
        <f t="shared" si="140"/>
        <v>42.54</v>
      </c>
      <c r="O725" s="261"/>
      <c r="P725" s="261"/>
      <c r="Q725" s="345">
        <v>2812515400</v>
      </c>
      <c r="R725" s="49" t="s">
        <v>1046</v>
      </c>
      <c r="S725" s="349">
        <v>335.55</v>
      </c>
    </row>
    <row r="726" spans="2:19">
      <c r="B726" s="215">
        <v>2813940013</v>
      </c>
      <c r="E726" s="216">
        <f t="shared" si="137"/>
        <v>62.79</v>
      </c>
      <c r="F726" s="216">
        <v>47.09</v>
      </c>
      <c r="G726" s="222" t="s">
        <v>1717</v>
      </c>
      <c r="J726" s="49">
        <f t="shared" si="138"/>
        <v>2813940013</v>
      </c>
      <c r="K726" s="217">
        <f t="shared" si="139"/>
        <v>62.79</v>
      </c>
      <c r="L726" s="282">
        <v>36.04</v>
      </c>
      <c r="M726" s="282">
        <f t="shared" si="136"/>
        <v>47.09</v>
      </c>
      <c r="N726" s="282">
        <f t="shared" si="140"/>
        <v>47.092500000000001</v>
      </c>
      <c r="O726" s="261"/>
      <c r="P726" s="261"/>
      <c r="Q726" s="16">
        <v>2812540700</v>
      </c>
      <c r="R726" s="349" t="s">
        <v>1047</v>
      </c>
      <c r="S726" s="349">
        <v>258.75</v>
      </c>
    </row>
    <row r="727" spans="2:19">
      <c r="B727" s="215">
        <v>2813940014</v>
      </c>
      <c r="E727" s="216">
        <f t="shared" si="137"/>
        <v>46.5</v>
      </c>
      <c r="F727" s="216">
        <v>34.880000000000003</v>
      </c>
      <c r="G727" s="222" t="s">
        <v>1718</v>
      </c>
      <c r="J727" s="49">
        <f t="shared" si="138"/>
        <v>2813940014</v>
      </c>
      <c r="K727" s="217">
        <f t="shared" si="139"/>
        <v>46.5</v>
      </c>
      <c r="L727" s="282">
        <v>40.549999999999997</v>
      </c>
      <c r="M727" s="282">
        <f t="shared" si="136"/>
        <v>34.880000000000003</v>
      </c>
      <c r="N727" s="282">
        <f t="shared" si="140"/>
        <v>34.875</v>
      </c>
      <c r="O727" s="261"/>
      <c r="P727" s="261"/>
      <c r="Q727" s="16">
        <v>2812541800</v>
      </c>
      <c r="R727" s="349" t="s">
        <v>1048</v>
      </c>
      <c r="S727" s="349">
        <v>231.20999999999998</v>
      </c>
    </row>
    <row r="728" spans="2:19">
      <c r="B728" s="215">
        <v>2813940015</v>
      </c>
      <c r="E728" s="216">
        <f t="shared" si="137"/>
        <v>52.309999999999995</v>
      </c>
      <c r="F728" s="216">
        <v>39.229999999999997</v>
      </c>
      <c r="G728" s="222" t="s">
        <v>1719</v>
      </c>
      <c r="J728" s="49">
        <f t="shared" si="138"/>
        <v>2813940015</v>
      </c>
      <c r="K728" s="217">
        <f t="shared" si="139"/>
        <v>52.309999999999995</v>
      </c>
      <c r="L728" s="282">
        <v>72.790000000000006</v>
      </c>
      <c r="M728" s="282">
        <f t="shared" si="136"/>
        <v>39.229999999999997</v>
      </c>
      <c r="N728" s="282">
        <f t="shared" si="140"/>
        <v>39.232499999999995</v>
      </c>
      <c r="O728" s="261"/>
      <c r="P728" s="261"/>
      <c r="Q728" s="16">
        <v>2812542100</v>
      </c>
      <c r="R728" s="349" t="s">
        <v>1049</v>
      </c>
      <c r="S728" s="349">
        <v>35.489999999999995</v>
      </c>
    </row>
    <row r="729" spans="2:19">
      <c r="B729" s="215">
        <v>2813940016</v>
      </c>
      <c r="E729" s="216">
        <f t="shared" si="137"/>
        <v>93.93</v>
      </c>
      <c r="F729" s="216">
        <v>70.45</v>
      </c>
      <c r="G729" s="222" t="s">
        <v>1720</v>
      </c>
      <c r="J729" s="49">
        <f t="shared" si="138"/>
        <v>2813940016</v>
      </c>
      <c r="K729" s="217">
        <f t="shared" si="139"/>
        <v>93.93</v>
      </c>
      <c r="L729" s="282">
        <v>105.86</v>
      </c>
      <c r="M729" s="282">
        <f t="shared" si="136"/>
        <v>70.45</v>
      </c>
      <c r="N729" s="282">
        <f t="shared" si="140"/>
        <v>70.447500000000005</v>
      </c>
      <c r="O729" s="261"/>
      <c r="P729" s="261"/>
      <c r="Q729" s="16">
        <v>2812551400</v>
      </c>
      <c r="R729" s="349" t="s">
        <v>1050</v>
      </c>
      <c r="S729" s="349">
        <v>227.63</v>
      </c>
    </row>
    <row r="730" spans="2:19">
      <c r="B730" s="215">
        <v>2813940017</v>
      </c>
      <c r="E730" s="216">
        <f t="shared" si="137"/>
        <v>136.59</v>
      </c>
      <c r="F730" s="216">
        <v>102.44</v>
      </c>
      <c r="G730" s="222" t="s">
        <v>1721</v>
      </c>
      <c r="J730" s="49">
        <f t="shared" si="138"/>
        <v>2813940017</v>
      </c>
      <c r="K730" s="217">
        <f t="shared" si="139"/>
        <v>136.59</v>
      </c>
      <c r="L730" s="282">
        <v>109.97</v>
      </c>
      <c r="M730" s="282">
        <f t="shared" si="136"/>
        <v>102.44</v>
      </c>
      <c r="N730" s="282">
        <f t="shared" si="140"/>
        <v>102.4425</v>
      </c>
      <c r="O730" s="261"/>
      <c r="P730" s="261"/>
      <c r="Q730" s="16">
        <v>2812551800</v>
      </c>
      <c r="R730" s="349" t="s">
        <v>1051</v>
      </c>
      <c r="S730" s="349">
        <v>231.20999999999998</v>
      </c>
    </row>
    <row r="731" spans="2:19">
      <c r="B731" s="215">
        <v>2813950000</v>
      </c>
      <c r="E731" s="216">
        <f t="shared" si="137"/>
        <v>141.89999999999998</v>
      </c>
      <c r="F731" s="216">
        <v>106.43</v>
      </c>
      <c r="G731" s="222" t="s">
        <v>1722</v>
      </c>
      <c r="J731" s="49">
        <f t="shared" si="138"/>
        <v>2813950000</v>
      </c>
      <c r="K731" s="217">
        <f t="shared" si="139"/>
        <v>141.89999999999998</v>
      </c>
      <c r="L731" s="282">
        <v>262.25</v>
      </c>
      <c r="M731" s="282">
        <f t="shared" si="136"/>
        <v>106.43</v>
      </c>
      <c r="N731" s="282">
        <f t="shared" si="140"/>
        <v>106.42499999999998</v>
      </c>
      <c r="O731" s="261"/>
      <c r="P731" s="261"/>
      <c r="Q731" s="16">
        <v>2812552000</v>
      </c>
      <c r="R731" s="349" t="s">
        <v>1052</v>
      </c>
      <c r="S731" s="349">
        <v>231.20999999999998</v>
      </c>
    </row>
    <row r="732" spans="2:19">
      <c r="B732" s="215">
        <v>2813950001</v>
      </c>
      <c r="E732" s="216">
        <f t="shared" si="137"/>
        <v>349.66</v>
      </c>
      <c r="F732" s="216">
        <v>262.25</v>
      </c>
      <c r="G732" s="222" t="s">
        <v>1723</v>
      </c>
      <c r="J732" s="49">
        <f t="shared" si="138"/>
        <v>2813950001</v>
      </c>
      <c r="K732" s="217">
        <f t="shared" si="139"/>
        <v>349.66</v>
      </c>
      <c r="L732" s="282">
        <v>171.8</v>
      </c>
      <c r="M732" s="282">
        <f t="shared" si="136"/>
        <v>262.25</v>
      </c>
      <c r="N732" s="282">
        <f t="shared" si="140"/>
        <v>262.245</v>
      </c>
      <c r="O732" s="261"/>
      <c r="P732" s="261"/>
      <c r="Q732" s="345">
        <v>2812600000</v>
      </c>
      <c r="R732" s="352" t="s">
        <v>1053</v>
      </c>
      <c r="S732" s="349">
        <v>736.62</v>
      </c>
    </row>
    <row r="733" spans="2:19">
      <c r="B733" s="215">
        <v>2813950002</v>
      </c>
      <c r="E733" s="216">
        <f t="shared" si="137"/>
        <v>221.67</v>
      </c>
      <c r="F733" s="216">
        <v>166.25</v>
      </c>
      <c r="G733" s="222" t="s">
        <v>1724</v>
      </c>
      <c r="J733" s="49">
        <f t="shared" si="138"/>
        <v>2813950002</v>
      </c>
      <c r="K733" s="217">
        <f t="shared" si="139"/>
        <v>221.67</v>
      </c>
      <c r="L733" s="282">
        <v>211.61</v>
      </c>
      <c r="M733" s="282">
        <f t="shared" si="136"/>
        <v>166.25</v>
      </c>
      <c r="N733" s="282">
        <f t="shared" si="140"/>
        <v>166.2525</v>
      </c>
      <c r="O733" s="261"/>
      <c r="P733" s="261"/>
      <c r="Q733" s="16">
        <v>2812600200</v>
      </c>
      <c r="R733" s="49" t="s">
        <v>1054</v>
      </c>
      <c r="S733" s="349">
        <v>194.19</v>
      </c>
    </row>
    <row r="734" spans="2:19">
      <c r="B734" s="215">
        <v>2813950003</v>
      </c>
      <c r="E734" s="216">
        <f t="shared" si="137"/>
        <v>273.03999999999996</v>
      </c>
      <c r="F734" s="216">
        <v>204.78</v>
      </c>
      <c r="G734" s="222" t="s">
        <v>1725</v>
      </c>
      <c r="J734" s="49">
        <f t="shared" si="138"/>
        <v>2813950003</v>
      </c>
      <c r="K734" s="217">
        <f t="shared" si="139"/>
        <v>273.03999999999996</v>
      </c>
      <c r="L734" s="282">
        <v>338.1</v>
      </c>
      <c r="M734" s="282">
        <f t="shared" si="136"/>
        <v>204.78</v>
      </c>
      <c r="N734" s="282">
        <f t="shared" si="140"/>
        <v>204.77999999999997</v>
      </c>
      <c r="O734" s="261"/>
      <c r="P734" s="261"/>
      <c r="Q734" s="16">
        <v>2812600300</v>
      </c>
      <c r="R734" s="49" t="s">
        <v>1055</v>
      </c>
      <c r="S734" s="349">
        <v>212.23</v>
      </c>
    </row>
    <row r="735" spans="2:19">
      <c r="B735" s="215">
        <v>2813950004</v>
      </c>
      <c r="E735" s="216">
        <f t="shared" si="137"/>
        <v>436.23</v>
      </c>
      <c r="F735" s="216">
        <v>327.17</v>
      </c>
      <c r="G735" s="222" t="s">
        <v>1726</v>
      </c>
      <c r="J735" s="49">
        <f t="shared" si="138"/>
        <v>2813950004</v>
      </c>
      <c r="K735" s="217">
        <f t="shared" si="139"/>
        <v>436.23</v>
      </c>
      <c r="L735" s="282">
        <v>419.16</v>
      </c>
      <c r="M735" s="282">
        <f t="shared" si="136"/>
        <v>327.17</v>
      </c>
      <c r="N735" s="282">
        <f t="shared" si="140"/>
        <v>327.17250000000001</v>
      </c>
      <c r="O735" s="261"/>
      <c r="P735" s="261"/>
      <c r="Q735" s="16">
        <v>2812600400</v>
      </c>
      <c r="R735" t="s">
        <v>1056</v>
      </c>
      <c r="S735" s="349">
        <v>212.23</v>
      </c>
    </row>
    <row r="736" spans="2:19">
      <c r="B736" s="215">
        <v>2813950005</v>
      </c>
      <c r="E736" s="216">
        <f t="shared" si="137"/>
        <v>540.81999999999994</v>
      </c>
      <c r="F736" s="216">
        <v>405.62</v>
      </c>
      <c r="G736" s="222" t="s">
        <v>1725</v>
      </c>
      <c r="J736" s="49">
        <f t="shared" si="138"/>
        <v>2813950005</v>
      </c>
      <c r="K736" s="217">
        <f t="shared" si="139"/>
        <v>540.81999999999994</v>
      </c>
      <c r="L736" s="282">
        <v>567.52</v>
      </c>
      <c r="M736" s="282">
        <f t="shared" ref="M736:M799" si="141">ROUND(N736,2)</f>
        <v>405.62</v>
      </c>
      <c r="N736" s="282">
        <f t="shared" si="140"/>
        <v>405.61499999999995</v>
      </c>
      <c r="O736" s="261"/>
      <c r="P736" s="261"/>
      <c r="Q736" s="345">
        <v>2812600500</v>
      </c>
      <c r="R736" s="49" t="s">
        <v>1057</v>
      </c>
      <c r="S736" s="349">
        <v>452.28</v>
      </c>
    </row>
    <row r="737" spans="2:19">
      <c r="B737" s="215">
        <v>2813950006</v>
      </c>
      <c r="E737" s="216">
        <f t="shared" si="137"/>
        <v>732.25</v>
      </c>
      <c r="F737" s="216">
        <v>549.19000000000005</v>
      </c>
      <c r="G737" s="222" t="s">
        <v>1727</v>
      </c>
      <c r="J737" s="49">
        <f t="shared" si="138"/>
        <v>2813950006</v>
      </c>
      <c r="K737" s="217">
        <f t="shared" si="139"/>
        <v>732.25</v>
      </c>
      <c r="L737" s="282">
        <v>572.01</v>
      </c>
      <c r="M737" s="282">
        <f t="shared" si="141"/>
        <v>549.19000000000005</v>
      </c>
      <c r="N737" s="282">
        <f t="shared" si="140"/>
        <v>549.1875</v>
      </c>
      <c r="O737" s="261"/>
      <c r="P737" s="261"/>
      <c r="Q737" s="345">
        <v>2812600600</v>
      </c>
      <c r="R737" s="49" t="s">
        <v>1058</v>
      </c>
      <c r="S737" s="349">
        <v>194.19</v>
      </c>
    </row>
    <row r="738" spans="2:19">
      <c r="B738" s="215">
        <v>2813950007</v>
      </c>
      <c r="E738" s="216">
        <f t="shared" si="137"/>
        <v>738.05</v>
      </c>
      <c r="F738" s="216">
        <v>553.54</v>
      </c>
      <c r="G738" s="222" t="s">
        <v>1728</v>
      </c>
      <c r="J738" s="49">
        <f t="shared" si="138"/>
        <v>2813950007</v>
      </c>
      <c r="K738" s="217">
        <f t="shared" si="139"/>
        <v>738.05</v>
      </c>
      <c r="L738" s="282">
        <v>54.25</v>
      </c>
      <c r="M738" s="282">
        <f t="shared" si="141"/>
        <v>553.54</v>
      </c>
      <c r="N738" s="282">
        <f t="shared" si="140"/>
        <v>553.53749999999991</v>
      </c>
      <c r="O738" s="261"/>
      <c r="P738" s="261"/>
      <c r="Q738" s="16">
        <v>2812602220</v>
      </c>
      <c r="R738" s="49" t="s">
        <v>1059</v>
      </c>
      <c r="S738" s="349">
        <v>308.32</v>
      </c>
    </row>
    <row r="739" spans="2:19">
      <c r="B739" s="215">
        <v>2813950008</v>
      </c>
      <c r="E739" s="216">
        <f t="shared" si="137"/>
        <v>70</v>
      </c>
      <c r="F739" s="216">
        <v>52.5</v>
      </c>
      <c r="G739" s="222" t="s">
        <v>1729</v>
      </c>
      <c r="J739" s="49">
        <f t="shared" si="138"/>
        <v>2813950008</v>
      </c>
      <c r="K739" s="217">
        <f t="shared" si="139"/>
        <v>70</v>
      </c>
      <c r="L739" s="282">
        <v>59.18</v>
      </c>
      <c r="M739" s="282">
        <f t="shared" si="141"/>
        <v>52.5</v>
      </c>
      <c r="N739" s="282">
        <f t="shared" si="140"/>
        <v>52.5</v>
      </c>
      <c r="O739" s="261"/>
      <c r="P739" s="261"/>
      <c r="Q739" s="16">
        <v>2812602800</v>
      </c>
      <c r="R739" s="49" t="s">
        <v>1060</v>
      </c>
      <c r="S739" s="343">
        <v>1685.99</v>
      </c>
    </row>
    <row r="740" spans="2:19">
      <c r="B740" s="215">
        <v>2813960000</v>
      </c>
      <c r="E740" s="216">
        <f t="shared" si="137"/>
        <v>78.900000000000006</v>
      </c>
      <c r="F740" s="216">
        <v>59.18</v>
      </c>
      <c r="G740" s="222" t="s">
        <v>1730</v>
      </c>
      <c r="J740" s="49">
        <f t="shared" si="138"/>
        <v>2813960000</v>
      </c>
      <c r="K740" s="217">
        <f t="shared" si="139"/>
        <v>78.900000000000006</v>
      </c>
      <c r="L740" s="282">
        <v>61.64</v>
      </c>
      <c r="M740" s="282">
        <f t="shared" si="141"/>
        <v>59.18</v>
      </c>
      <c r="N740" s="282">
        <f t="shared" si="140"/>
        <v>59.175000000000004</v>
      </c>
      <c r="O740" s="261"/>
      <c r="P740" s="261"/>
      <c r="Q740" s="16">
        <v>2812605100</v>
      </c>
      <c r="R740" s="49" t="s">
        <v>1061</v>
      </c>
      <c r="S740" s="349">
        <v>1262.83</v>
      </c>
    </row>
    <row r="741" spans="2:19">
      <c r="B741" s="215">
        <v>2813960001</v>
      </c>
      <c r="E741" s="216">
        <f t="shared" si="137"/>
        <v>82.18</v>
      </c>
      <c r="F741" s="216">
        <v>61.64</v>
      </c>
      <c r="G741" s="222" t="s">
        <v>1731</v>
      </c>
      <c r="J741" s="49">
        <f t="shared" si="138"/>
        <v>2813960001</v>
      </c>
      <c r="K741" s="217">
        <f t="shared" si="139"/>
        <v>82.18</v>
      </c>
      <c r="L741" s="282">
        <v>64.099999999999994</v>
      </c>
      <c r="M741" s="282">
        <f t="shared" si="141"/>
        <v>61.64</v>
      </c>
      <c r="N741" s="282">
        <f t="shared" si="140"/>
        <v>61.635000000000005</v>
      </c>
      <c r="O741" s="261"/>
      <c r="P741" s="261"/>
      <c r="Q741" s="16">
        <v>2812606510</v>
      </c>
      <c r="R741" s="49" t="s">
        <v>1062</v>
      </c>
      <c r="S741" s="349">
        <v>289.58999999999997</v>
      </c>
    </row>
    <row r="742" spans="2:19">
      <c r="B742" s="215">
        <v>2813960002</v>
      </c>
      <c r="E742" s="216">
        <f t="shared" si="137"/>
        <v>85.47</v>
      </c>
      <c r="F742" s="216">
        <v>64.099999999999994</v>
      </c>
      <c r="G742" s="222" t="s">
        <v>1732</v>
      </c>
      <c r="J742" s="49">
        <f t="shared" si="138"/>
        <v>2813960002</v>
      </c>
      <c r="K742" s="217">
        <f t="shared" si="139"/>
        <v>85.47</v>
      </c>
      <c r="L742" s="282">
        <v>165.19</v>
      </c>
      <c r="M742" s="282">
        <f t="shared" si="141"/>
        <v>64.099999999999994</v>
      </c>
      <c r="N742" s="282">
        <f t="shared" si="140"/>
        <v>64.102499999999992</v>
      </c>
      <c r="O742" s="261"/>
      <c r="P742" s="261"/>
      <c r="Q742" s="345">
        <v>2812610900</v>
      </c>
      <c r="R742" s="49" t="s">
        <v>1063</v>
      </c>
      <c r="S742" s="349">
        <v>377.44</v>
      </c>
    </row>
    <row r="743" spans="2:19">
      <c r="B743" s="215">
        <v>2813960003</v>
      </c>
      <c r="E743" s="216">
        <f t="shared" si="137"/>
        <v>220.25</v>
      </c>
      <c r="F743" s="216">
        <v>165.19</v>
      </c>
      <c r="G743" s="222" t="s">
        <v>1733</v>
      </c>
      <c r="J743" s="49">
        <f t="shared" si="138"/>
        <v>2813960003</v>
      </c>
      <c r="K743" s="217">
        <f t="shared" si="139"/>
        <v>220.25</v>
      </c>
      <c r="L743" s="282">
        <v>172.59</v>
      </c>
      <c r="M743" s="282">
        <f t="shared" si="141"/>
        <v>165.19</v>
      </c>
      <c r="N743" s="282">
        <f t="shared" si="140"/>
        <v>165.1875</v>
      </c>
      <c r="O743" s="261"/>
      <c r="P743" s="261"/>
      <c r="Q743" s="345">
        <v>2812612220</v>
      </c>
      <c r="R743" s="49" t="s">
        <v>1064</v>
      </c>
      <c r="S743" s="349">
        <v>365.06</v>
      </c>
    </row>
    <row r="744" spans="2:19">
      <c r="B744" s="215">
        <v>2813960004</v>
      </c>
      <c r="E744" s="216">
        <f t="shared" si="137"/>
        <v>230.12</v>
      </c>
      <c r="F744" s="216">
        <v>172.59</v>
      </c>
      <c r="G744" s="222" t="s">
        <v>1734</v>
      </c>
      <c r="J744" s="49">
        <f t="shared" si="138"/>
        <v>2813960004</v>
      </c>
      <c r="K744" s="217">
        <f t="shared" si="139"/>
        <v>230.12</v>
      </c>
      <c r="L744" s="282">
        <v>175.06</v>
      </c>
      <c r="M744" s="282">
        <f t="shared" si="141"/>
        <v>172.59</v>
      </c>
      <c r="N744" s="282">
        <f t="shared" si="140"/>
        <v>172.59</v>
      </c>
      <c r="O744" s="261"/>
      <c r="P744" s="261"/>
      <c r="Q744" s="345">
        <v>2812615400</v>
      </c>
      <c r="R744" s="49" t="s">
        <v>1065</v>
      </c>
      <c r="S744" s="349">
        <v>594.5</v>
      </c>
    </row>
    <row r="745" spans="2:19">
      <c r="B745" s="215">
        <v>2813960005</v>
      </c>
      <c r="E745" s="216">
        <f t="shared" si="137"/>
        <v>233.41</v>
      </c>
      <c r="F745" s="216">
        <v>175.06</v>
      </c>
      <c r="G745" s="222" t="s">
        <v>1735</v>
      </c>
      <c r="J745" s="49">
        <f t="shared" si="138"/>
        <v>2813960005</v>
      </c>
      <c r="K745" s="217">
        <f t="shared" si="139"/>
        <v>233.41</v>
      </c>
      <c r="L745" s="282">
        <v>220.32</v>
      </c>
      <c r="M745" s="282">
        <f t="shared" si="141"/>
        <v>175.06</v>
      </c>
      <c r="N745" s="282">
        <f t="shared" si="140"/>
        <v>175.0575</v>
      </c>
      <c r="O745" s="261"/>
      <c r="P745" s="261"/>
      <c r="Q745" s="16">
        <v>2812631000</v>
      </c>
      <c r="R745" s="49" t="s">
        <v>1066</v>
      </c>
      <c r="S745" s="349">
        <v>213.57999999999998</v>
      </c>
    </row>
    <row r="746" spans="2:19">
      <c r="B746" s="215">
        <v>2813960006</v>
      </c>
      <c r="E746" s="216">
        <f t="shared" ref="E746:E751" si="142">VLOOKUP(B746,$Q$14:$S$1164,3,FALSE)</f>
        <v>293.76</v>
      </c>
      <c r="F746" s="216">
        <v>220.32</v>
      </c>
      <c r="G746" s="222" t="s">
        <v>1736</v>
      </c>
      <c r="J746" s="49">
        <f t="shared" ref="J746:J751" si="143">B746*$K$13</f>
        <v>2813960006</v>
      </c>
      <c r="K746" s="217">
        <f t="shared" ref="K746:K751" si="144">VLOOKUP(J746,$Q$14:$S$1164,3,FALSE)</f>
        <v>293.76</v>
      </c>
      <c r="L746" s="282">
        <v>228.53</v>
      </c>
      <c r="M746" s="282">
        <f t="shared" si="141"/>
        <v>220.32</v>
      </c>
      <c r="N746" s="282">
        <f t="shared" ref="N746:N751" si="145">K746*$N$13</f>
        <v>220.32</v>
      </c>
      <c r="O746" s="261"/>
      <c r="P746" s="261"/>
      <c r="Q746" s="16">
        <v>2812650700</v>
      </c>
      <c r="R746" s="49" t="s">
        <v>1067</v>
      </c>
      <c r="S746" s="349">
        <v>412.49</v>
      </c>
    </row>
    <row r="747" spans="2:19">
      <c r="B747" s="215">
        <v>2813960007</v>
      </c>
      <c r="E747" s="216">
        <f t="shared" si="142"/>
        <v>304.70999999999998</v>
      </c>
      <c r="F747" s="216">
        <v>228.53</v>
      </c>
      <c r="G747" s="222" t="s">
        <v>1737</v>
      </c>
      <c r="J747" s="49">
        <f t="shared" si="143"/>
        <v>2813960007</v>
      </c>
      <c r="K747" s="217">
        <f t="shared" si="144"/>
        <v>304.70999999999998</v>
      </c>
      <c r="L747" s="282">
        <v>235.41</v>
      </c>
      <c r="M747" s="282">
        <f t="shared" si="141"/>
        <v>228.53</v>
      </c>
      <c r="N747" s="282">
        <f t="shared" si="145"/>
        <v>228.53249999999997</v>
      </c>
      <c r="O747" s="261"/>
      <c r="P747" s="261"/>
      <c r="Q747" s="16">
        <v>2812652100</v>
      </c>
      <c r="R747" s="49" t="s">
        <v>1068</v>
      </c>
      <c r="S747" s="349">
        <v>152.23999999999998</v>
      </c>
    </row>
    <row r="748" spans="2:19">
      <c r="B748" s="215">
        <v>2813960008</v>
      </c>
      <c r="E748" s="216">
        <f t="shared" si="142"/>
        <v>313.88</v>
      </c>
      <c r="F748" s="216">
        <v>235.41</v>
      </c>
      <c r="G748" s="222" t="s">
        <v>1738</v>
      </c>
      <c r="J748" s="49">
        <f t="shared" si="143"/>
        <v>2813960008</v>
      </c>
      <c r="K748" s="217">
        <f t="shared" si="144"/>
        <v>313.88</v>
      </c>
      <c r="L748" s="282">
        <v>458</v>
      </c>
      <c r="M748" s="282">
        <f t="shared" si="141"/>
        <v>235.41</v>
      </c>
      <c r="N748" s="282">
        <f t="shared" si="145"/>
        <v>235.41</v>
      </c>
      <c r="O748" s="261"/>
      <c r="P748" s="261"/>
      <c r="Q748" s="16">
        <v>2812652102</v>
      </c>
      <c r="R748" s="49" t="s">
        <v>1068</v>
      </c>
      <c r="S748" s="343">
        <v>171.88</v>
      </c>
    </row>
    <row r="749" spans="2:19">
      <c r="B749" s="215">
        <v>2813960009</v>
      </c>
      <c r="E749" s="216">
        <f t="shared" si="142"/>
        <v>590.93999999999994</v>
      </c>
      <c r="F749" s="216">
        <v>443.21</v>
      </c>
      <c r="G749" s="222" t="s">
        <v>1739</v>
      </c>
      <c r="J749" s="49">
        <f t="shared" si="143"/>
        <v>2813960009</v>
      </c>
      <c r="K749" s="217">
        <f t="shared" si="144"/>
        <v>590.93999999999994</v>
      </c>
      <c r="L749" s="282">
        <v>550.24</v>
      </c>
      <c r="M749" s="282">
        <f t="shared" si="141"/>
        <v>443.21</v>
      </c>
      <c r="N749" s="282">
        <f t="shared" si="145"/>
        <v>443.20499999999993</v>
      </c>
      <c r="O749" s="261"/>
      <c r="P749" s="261"/>
      <c r="Q749" s="16">
        <v>2812661800</v>
      </c>
      <c r="R749" s="49" t="s">
        <v>1069</v>
      </c>
      <c r="S749" s="349">
        <v>434.05</v>
      </c>
    </row>
    <row r="750" spans="2:19">
      <c r="B750" s="215">
        <v>2813960010</v>
      </c>
      <c r="E750" s="216">
        <f t="shared" si="142"/>
        <v>709.95</v>
      </c>
      <c r="F750" s="216">
        <v>532.46</v>
      </c>
      <c r="G750" s="222" t="s">
        <v>1740</v>
      </c>
      <c r="J750" s="49">
        <f t="shared" si="143"/>
        <v>2813960010</v>
      </c>
      <c r="K750" s="217">
        <f t="shared" si="144"/>
        <v>709.95</v>
      </c>
      <c r="L750" s="282">
        <v>209.08</v>
      </c>
      <c r="M750" s="282">
        <f t="shared" si="141"/>
        <v>532.46</v>
      </c>
      <c r="N750" s="282">
        <f t="shared" si="145"/>
        <v>532.46250000000009</v>
      </c>
      <c r="O750" s="261"/>
      <c r="P750" s="261"/>
      <c r="Q750" s="16">
        <v>2812700000</v>
      </c>
      <c r="R750" s="49" t="s">
        <v>1070</v>
      </c>
      <c r="S750" s="349">
        <v>1065.1500000000001</v>
      </c>
    </row>
    <row r="751" spans="2:19">
      <c r="B751" s="215">
        <v>2813960011</v>
      </c>
      <c r="E751" s="216">
        <f t="shared" si="142"/>
        <v>269.76</v>
      </c>
      <c r="F751" s="216">
        <v>202.32</v>
      </c>
      <c r="G751" s="222" t="s">
        <v>1741</v>
      </c>
      <c r="J751" s="49">
        <f t="shared" si="143"/>
        <v>2813960011</v>
      </c>
      <c r="K751" s="217">
        <f t="shared" si="144"/>
        <v>269.76</v>
      </c>
      <c r="L751" s="282"/>
      <c r="M751" s="282">
        <f t="shared" si="141"/>
        <v>202.32</v>
      </c>
      <c r="N751" s="282">
        <f t="shared" si="145"/>
        <v>202.32</v>
      </c>
      <c r="O751" s="261"/>
      <c r="P751" s="261"/>
      <c r="Q751" s="16">
        <v>2812700200</v>
      </c>
      <c r="R751" s="49" t="s">
        <v>1071</v>
      </c>
      <c r="S751" s="349">
        <v>226.87</v>
      </c>
    </row>
    <row r="752" spans="2:19">
      <c r="B752" s="215"/>
      <c r="E752" s="216"/>
      <c r="F752" s="216"/>
      <c r="G752" s="222"/>
      <c r="K752" s="217"/>
      <c r="L752" s="282"/>
      <c r="M752" s="282"/>
      <c r="N752" s="282"/>
      <c r="O752" s="261"/>
      <c r="P752" s="261"/>
      <c r="Q752" s="16">
        <v>2812700300</v>
      </c>
      <c r="R752" s="49" t="s">
        <v>1072</v>
      </c>
      <c r="S752" s="349">
        <v>281.20999999999998</v>
      </c>
    </row>
    <row r="753" spans="2:19">
      <c r="B753" s="215"/>
      <c r="E753" s="216"/>
      <c r="F753" s="216"/>
      <c r="G753" s="232" t="s">
        <v>1742</v>
      </c>
      <c r="K753" s="217"/>
      <c r="L753" s="282">
        <v>1555.96</v>
      </c>
      <c r="M753" s="282"/>
      <c r="N753" s="282"/>
      <c r="O753" s="261"/>
      <c r="P753" s="261"/>
      <c r="Q753" s="16">
        <v>2812700400</v>
      </c>
      <c r="R753" t="s">
        <v>1073</v>
      </c>
      <c r="S753" s="349">
        <v>271.40999999999997</v>
      </c>
    </row>
    <row r="754" spans="2:19">
      <c r="B754" s="215">
        <v>2812002801</v>
      </c>
      <c r="E754" s="216" t="e">
        <f t="shared" ref="E754:E817" si="146">VLOOKUP(B754,$Q$14:$S$1164,3,FALSE)</f>
        <v>#N/A</v>
      </c>
      <c r="F754" s="216">
        <v>2283.86</v>
      </c>
      <c r="G754" s="222" t="s">
        <v>923</v>
      </c>
      <c r="J754" s="49">
        <f t="shared" ref="J754:J785" si="147">B754*$K$13</f>
        <v>2812002801</v>
      </c>
      <c r="K754" s="217" t="e">
        <f t="shared" ref="K754:K785" si="148">VLOOKUP(J754,$Q$14:$S$1164,3,FALSE)</f>
        <v>#N/A</v>
      </c>
      <c r="L754" s="282">
        <v>15.35</v>
      </c>
      <c r="M754" s="282" t="e">
        <f t="shared" si="141"/>
        <v>#N/A</v>
      </c>
      <c r="N754" s="282" t="e">
        <f t="shared" ref="N754:N785" si="149">K754*$N$13</f>
        <v>#N/A</v>
      </c>
      <c r="O754" s="261"/>
      <c r="P754" s="261"/>
      <c r="Q754" s="345">
        <v>2812700500</v>
      </c>
      <c r="R754" s="49" t="s">
        <v>1074</v>
      </c>
      <c r="S754" s="349">
        <v>459.93</v>
      </c>
    </row>
    <row r="755" spans="2:19">
      <c r="B755" s="215">
        <v>2812002980</v>
      </c>
      <c r="E755" s="216">
        <f t="shared" si="146"/>
        <v>19.8</v>
      </c>
      <c r="F755" s="216">
        <v>14.85</v>
      </c>
      <c r="G755" s="222" t="s">
        <v>924</v>
      </c>
      <c r="J755" s="49">
        <f t="shared" si="147"/>
        <v>2812002980</v>
      </c>
      <c r="K755" s="217">
        <f>VLOOKUP(J755,$Q$14:$S$1164,3,FALSE)</f>
        <v>19.8</v>
      </c>
      <c r="L755" s="282">
        <v>154.28</v>
      </c>
      <c r="M755" s="282">
        <f t="shared" si="141"/>
        <v>14.85</v>
      </c>
      <c r="N755" s="282">
        <f t="shared" si="149"/>
        <v>14.850000000000001</v>
      </c>
      <c r="O755" s="261"/>
      <c r="P755" s="261"/>
      <c r="Q755" s="16">
        <v>2812700600</v>
      </c>
      <c r="R755" s="49" t="s">
        <v>1075</v>
      </c>
      <c r="S755" s="349">
        <v>226.87</v>
      </c>
    </row>
    <row r="756" spans="2:19">
      <c r="B756" s="215">
        <v>2812004000</v>
      </c>
      <c r="E756" s="216">
        <f t="shared" si="146"/>
        <v>189.6</v>
      </c>
      <c r="F756" s="216">
        <v>142.19999999999999</v>
      </c>
      <c r="G756" s="222" t="s">
        <v>925</v>
      </c>
      <c r="J756" s="49">
        <f t="shared" si="147"/>
        <v>2812004000</v>
      </c>
      <c r="K756" s="217">
        <f t="shared" si="148"/>
        <v>189.6</v>
      </c>
      <c r="L756" s="282">
        <v>322.36</v>
      </c>
      <c r="M756" s="282">
        <f t="shared" si="141"/>
        <v>142.19999999999999</v>
      </c>
      <c r="N756" s="282">
        <f t="shared" si="149"/>
        <v>142.19999999999999</v>
      </c>
      <c r="O756" s="261"/>
      <c r="P756" s="261"/>
      <c r="Q756" s="16">
        <v>2812702220</v>
      </c>
      <c r="R756" s="49" t="s">
        <v>1076</v>
      </c>
      <c r="S756" s="349">
        <v>336.39</v>
      </c>
    </row>
    <row r="757" spans="2:19">
      <c r="B757" s="215">
        <v>2812004600</v>
      </c>
      <c r="E757" s="216">
        <f t="shared" si="146"/>
        <v>416.93</v>
      </c>
      <c r="F757" s="216">
        <v>312.7</v>
      </c>
      <c r="G757" s="222" t="s">
        <v>926</v>
      </c>
      <c r="J757" s="49">
        <f t="shared" si="147"/>
        <v>2812004600</v>
      </c>
      <c r="K757" s="217">
        <f t="shared" si="148"/>
        <v>416.93</v>
      </c>
      <c r="L757" s="282">
        <v>446.84</v>
      </c>
      <c r="M757" s="282">
        <f t="shared" si="141"/>
        <v>312.7</v>
      </c>
      <c r="N757" s="282">
        <f t="shared" si="149"/>
        <v>312.69749999999999</v>
      </c>
      <c r="O757" s="261"/>
      <c r="P757" s="261"/>
      <c r="Q757" s="16">
        <v>2812702800</v>
      </c>
      <c r="R757" s="49" t="s">
        <v>1077</v>
      </c>
      <c r="S757" s="343">
        <v>2054.4299999999998</v>
      </c>
    </row>
    <row r="758" spans="2:19">
      <c r="B758" s="215">
        <v>2812004601</v>
      </c>
      <c r="E758" s="216">
        <f t="shared" si="146"/>
        <v>613.66</v>
      </c>
      <c r="F758" s="216">
        <v>460.25</v>
      </c>
      <c r="G758" s="222" t="s">
        <v>927</v>
      </c>
      <c r="J758" s="49">
        <f t="shared" si="147"/>
        <v>2812004601</v>
      </c>
      <c r="K758" s="217">
        <f t="shared" si="148"/>
        <v>613.66</v>
      </c>
      <c r="L758" s="282">
        <v>5.42</v>
      </c>
      <c r="M758" s="282">
        <f t="shared" si="141"/>
        <v>460.25</v>
      </c>
      <c r="N758" s="282">
        <f t="shared" si="149"/>
        <v>460.245</v>
      </c>
      <c r="O758" s="261"/>
      <c r="P758" s="261"/>
      <c r="Q758" s="16">
        <v>2812705100</v>
      </c>
      <c r="R758" s="49" t="s">
        <v>1078</v>
      </c>
      <c r="S758" s="349">
        <v>1642.43</v>
      </c>
    </row>
    <row r="759" spans="2:19">
      <c r="B759" s="215">
        <v>2812004602</v>
      </c>
      <c r="E759" s="216">
        <f t="shared" si="146"/>
        <v>6.99</v>
      </c>
      <c r="F759" s="216">
        <v>5.24</v>
      </c>
      <c r="G759" s="222" t="s">
        <v>928</v>
      </c>
      <c r="J759" s="49">
        <f t="shared" si="147"/>
        <v>2812004602</v>
      </c>
      <c r="K759" s="217">
        <f t="shared" si="148"/>
        <v>6.99</v>
      </c>
      <c r="L759" s="282">
        <v>5.4</v>
      </c>
      <c r="M759" s="282">
        <f t="shared" si="141"/>
        <v>5.24</v>
      </c>
      <c r="N759" s="282">
        <f t="shared" si="149"/>
        <v>5.2424999999999997</v>
      </c>
      <c r="O759" s="261"/>
      <c r="P759" s="261"/>
      <c r="Q759" s="16">
        <v>2812705400</v>
      </c>
      <c r="R759" s="49" t="s">
        <v>1079</v>
      </c>
      <c r="S759" s="349">
        <v>497.11</v>
      </c>
    </row>
    <row r="760" spans="2:19">
      <c r="B760" s="215">
        <v>2812004603</v>
      </c>
      <c r="E760" s="216">
        <f t="shared" si="146"/>
        <v>6.96</v>
      </c>
      <c r="F760" s="216">
        <v>5.22</v>
      </c>
      <c r="G760" s="222" t="s">
        <v>929</v>
      </c>
      <c r="J760" s="49">
        <f t="shared" si="147"/>
        <v>2812004603</v>
      </c>
      <c r="K760" s="217">
        <f t="shared" si="148"/>
        <v>6.96</v>
      </c>
      <c r="L760" s="282">
        <v>3928.59</v>
      </c>
      <c r="M760" s="282">
        <f t="shared" si="141"/>
        <v>5.22</v>
      </c>
      <c r="N760" s="282">
        <f t="shared" si="149"/>
        <v>5.22</v>
      </c>
      <c r="O760" s="261"/>
      <c r="P760" s="261"/>
      <c r="Q760" s="16">
        <v>2812706510</v>
      </c>
      <c r="R760" s="49" t="s">
        <v>1080</v>
      </c>
      <c r="S760" s="349">
        <v>380.2</v>
      </c>
    </row>
    <row r="761" spans="2:19">
      <c r="B761" s="215">
        <v>2812012801</v>
      </c>
      <c r="E761" s="216">
        <f t="shared" si="146"/>
        <v>5238.13</v>
      </c>
      <c r="F761" s="216">
        <v>3928.6</v>
      </c>
      <c r="G761" s="222" t="s">
        <v>930</v>
      </c>
      <c r="J761" s="49">
        <f t="shared" si="147"/>
        <v>2812012801</v>
      </c>
      <c r="K761" s="217">
        <f t="shared" si="148"/>
        <v>5238.13</v>
      </c>
      <c r="L761" s="282">
        <v>35.97</v>
      </c>
      <c r="M761" s="282">
        <f t="shared" si="141"/>
        <v>3928.6</v>
      </c>
      <c r="N761" s="282">
        <f t="shared" si="149"/>
        <v>3928.5974999999999</v>
      </c>
      <c r="O761" s="261"/>
      <c r="P761" s="261"/>
      <c r="Q761" s="345">
        <v>2812710900</v>
      </c>
      <c r="R761" s="352" t="s">
        <v>1081</v>
      </c>
      <c r="S761" s="349">
        <v>440.88</v>
      </c>
    </row>
    <row r="762" spans="2:19">
      <c r="B762" s="215">
        <v>2812014000</v>
      </c>
      <c r="E762" s="216">
        <f t="shared" si="146"/>
        <v>45.54</v>
      </c>
      <c r="F762" s="216">
        <v>34.159999999999997</v>
      </c>
      <c r="G762" s="222" t="s">
        <v>931</v>
      </c>
      <c r="J762" s="49">
        <f t="shared" si="147"/>
        <v>2812014000</v>
      </c>
      <c r="K762" s="217">
        <f t="shared" si="148"/>
        <v>45.54</v>
      </c>
      <c r="L762" s="282">
        <v>43.13</v>
      </c>
      <c r="M762" s="282">
        <f t="shared" si="141"/>
        <v>34.159999999999997</v>
      </c>
      <c r="N762" s="282">
        <f t="shared" si="149"/>
        <v>34.155000000000001</v>
      </c>
      <c r="O762" s="261"/>
      <c r="P762" s="261"/>
      <c r="Q762" s="345">
        <v>2812712220</v>
      </c>
      <c r="R762" s="352" t="s">
        <v>1082</v>
      </c>
      <c r="S762" s="349">
        <v>385.90999999999997</v>
      </c>
    </row>
    <row r="763" spans="2:19">
      <c r="B763" s="215">
        <v>2812017200</v>
      </c>
      <c r="E763" s="216">
        <f t="shared" si="146"/>
        <v>55.65</v>
      </c>
      <c r="F763" s="216">
        <v>41.74</v>
      </c>
      <c r="G763" s="222" t="s">
        <v>932</v>
      </c>
      <c r="J763" s="49">
        <f t="shared" si="147"/>
        <v>2812017200</v>
      </c>
      <c r="K763" s="217">
        <f t="shared" si="148"/>
        <v>55.65</v>
      </c>
      <c r="L763" s="282">
        <v>274.89</v>
      </c>
      <c r="M763" s="282">
        <f t="shared" si="141"/>
        <v>41.74</v>
      </c>
      <c r="N763" s="282">
        <f t="shared" si="149"/>
        <v>41.737499999999997</v>
      </c>
      <c r="O763" s="261"/>
      <c r="P763" s="261"/>
      <c r="Q763" s="16">
        <v>2812715400</v>
      </c>
      <c r="R763" s="49" t="s">
        <v>1083</v>
      </c>
      <c r="S763" s="349">
        <v>799.41</v>
      </c>
    </row>
    <row r="764" spans="2:19">
      <c r="B764" s="215">
        <v>2812022800</v>
      </c>
      <c r="E764" s="216">
        <f t="shared" si="146"/>
        <v>366.53</v>
      </c>
      <c r="F764" s="216">
        <v>274.89999999999998</v>
      </c>
      <c r="G764" s="222" t="s">
        <v>933</v>
      </c>
      <c r="J764" s="49">
        <f t="shared" si="147"/>
        <v>2812022800</v>
      </c>
      <c r="K764" s="217">
        <f t="shared" si="148"/>
        <v>366.53</v>
      </c>
      <c r="L764" s="282">
        <v>1842.53</v>
      </c>
      <c r="M764" s="282">
        <f t="shared" si="141"/>
        <v>274.89999999999998</v>
      </c>
      <c r="N764" s="282">
        <f t="shared" si="149"/>
        <v>274.89749999999998</v>
      </c>
      <c r="O764" s="261"/>
      <c r="P764" s="261"/>
      <c r="Q764" s="345">
        <v>2812741000</v>
      </c>
      <c r="R764" s="352" t="s">
        <v>1084</v>
      </c>
      <c r="S764" s="349">
        <v>266.93</v>
      </c>
    </row>
    <row r="765" spans="2:19">
      <c r="B765" s="215">
        <v>2812024080</v>
      </c>
      <c r="E765" s="216">
        <f t="shared" si="146"/>
        <v>2383.0600000000004</v>
      </c>
      <c r="F765" s="216">
        <v>1787.3</v>
      </c>
      <c r="G765" s="222" t="s">
        <v>935</v>
      </c>
      <c r="J765" s="49">
        <f t="shared" si="147"/>
        <v>2812024080</v>
      </c>
      <c r="K765" s="217">
        <f t="shared" si="148"/>
        <v>2383.0600000000004</v>
      </c>
      <c r="L765" s="282">
        <v>1016.25</v>
      </c>
      <c r="M765" s="282">
        <f t="shared" si="141"/>
        <v>1787.3</v>
      </c>
      <c r="N765" s="282">
        <f t="shared" si="149"/>
        <v>1787.2950000000003</v>
      </c>
      <c r="O765" s="261"/>
      <c r="P765" s="261"/>
      <c r="Q765" s="16">
        <v>2812760700</v>
      </c>
      <c r="R765" s="49" t="s">
        <v>1085</v>
      </c>
      <c r="S765" s="349">
        <v>481.82</v>
      </c>
    </row>
    <row r="766" spans="2:19">
      <c r="B766" s="215">
        <v>2812024081</v>
      </c>
      <c r="E766" s="216">
        <f t="shared" si="146"/>
        <v>1314.39</v>
      </c>
      <c r="F766" s="216">
        <v>985.79</v>
      </c>
      <c r="G766" s="222" t="s">
        <v>934</v>
      </c>
      <c r="J766" s="49">
        <f t="shared" si="147"/>
        <v>2812024081</v>
      </c>
      <c r="K766" s="217">
        <f t="shared" si="148"/>
        <v>1314.39</v>
      </c>
      <c r="L766" s="282">
        <v>6.47</v>
      </c>
      <c r="M766" s="282">
        <f t="shared" si="141"/>
        <v>985.79</v>
      </c>
      <c r="N766" s="282">
        <f t="shared" si="149"/>
        <v>985.79250000000002</v>
      </c>
      <c r="O766" s="261"/>
      <c r="P766" s="261"/>
      <c r="Q766" s="16">
        <v>2812762100</v>
      </c>
      <c r="R766" s="49" t="s">
        <v>1086</v>
      </c>
      <c r="S766" s="349">
        <v>215.14999999999998</v>
      </c>
    </row>
    <row r="767" spans="2:19">
      <c r="B767" s="215">
        <v>2812027200</v>
      </c>
      <c r="E767" s="216">
        <f t="shared" si="146"/>
        <v>8.35</v>
      </c>
      <c r="F767" s="216">
        <v>6.26</v>
      </c>
      <c r="G767" s="222" t="s">
        <v>936</v>
      </c>
      <c r="J767" s="49">
        <f t="shared" si="147"/>
        <v>2812027200</v>
      </c>
      <c r="K767" s="217">
        <f t="shared" si="148"/>
        <v>8.35</v>
      </c>
      <c r="L767" s="282">
        <v>176.26</v>
      </c>
      <c r="M767" s="282">
        <f t="shared" si="141"/>
        <v>6.26</v>
      </c>
      <c r="N767" s="282">
        <f t="shared" si="149"/>
        <v>6.2624999999999993</v>
      </c>
      <c r="O767" s="261"/>
      <c r="P767" s="261"/>
      <c r="Q767" s="16">
        <v>2812771800</v>
      </c>
      <c r="R767" s="49" t="s">
        <v>1087</v>
      </c>
      <c r="S767" s="349">
        <v>635.79</v>
      </c>
    </row>
    <row r="768" spans="2:19">
      <c r="B768" s="215">
        <v>2812032801</v>
      </c>
      <c r="E768" s="216">
        <f t="shared" si="146"/>
        <v>235.01999999999998</v>
      </c>
      <c r="F768" s="216">
        <v>176.27</v>
      </c>
      <c r="G768" s="222" t="s">
        <v>937</v>
      </c>
      <c r="J768" s="49">
        <f t="shared" si="147"/>
        <v>2812032801</v>
      </c>
      <c r="K768" s="217">
        <f t="shared" si="148"/>
        <v>235.01999999999998</v>
      </c>
      <c r="L768" s="282">
        <v>1826.33</v>
      </c>
      <c r="M768" s="282">
        <f t="shared" si="141"/>
        <v>176.27</v>
      </c>
      <c r="N768" s="282">
        <f t="shared" si="149"/>
        <v>176.26499999999999</v>
      </c>
      <c r="O768" s="261"/>
      <c r="P768" s="261"/>
      <c r="Q768" s="16">
        <v>2812800000</v>
      </c>
      <c r="R768" s="49" t="s">
        <v>1088</v>
      </c>
      <c r="S768" s="343">
        <v>1289.29</v>
      </c>
    </row>
    <row r="769" spans="2:19">
      <c r="B769" s="215">
        <v>2812034000</v>
      </c>
      <c r="E769" s="216">
        <f t="shared" si="146"/>
        <v>2435.11</v>
      </c>
      <c r="F769" s="216">
        <v>1826.33</v>
      </c>
      <c r="G769" s="222" t="s">
        <v>938</v>
      </c>
      <c r="J769" s="49">
        <f t="shared" si="147"/>
        <v>2812034000</v>
      </c>
      <c r="K769" s="217">
        <f t="shared" si="148"/>
        <v>2435.11</v>
      </c>
      <c r="L769" s="282">
        <v>1826.33</v>
      </c>
      <c r="M769" s="282">
        <f t="shared" si="141"/>
        <v>1826.33</v>
      </c>
      <c r="N769" s="282">
        <f t="shared" si="149"/>
        <v>1826.3325</v>
      </c>
      <c r="O769" s="261"/>
      <c r="P769" s="261"/>
      <c r="Q769" s="16">
        <v>2812800200</v>
      </c>
      <c r="R769" s="49" t="s">
        <v>1089</v>
      </c>
      <c r="S769" s="349">
        <v>275.57</v>
      </c>
    </row>
    <row r="770" spans="2:19">
      <c r="B770" s="215">
        <v>2812034080</v>
      </c>
      <c r="E770" s="216">
        <f t="shared" si="146"/>
        <v>2362.11</v>
      </c>
      <c r="F770" s="216">
        <v>1771.58</v>
      </c>
      <c r="G770" s="222" t="s">
        <v>939</v>
      </c>
      <c r="J770" s="49">
        <f t="shared" si="147"/>
        <v>2812034080</v>
      </c>
      <c r="K770" s="217">
        <f t="shared" si="148"/>
        <v>2362.11</v>
      </c>
      <c r="L770" s="282">
        <v>1065.92</v>
      </c>
      <c r="M770" s="282">
        <f t="shared" si="141"/>
        <v>1771.58</v>
      </c>
      <c r="N770" s="282">
        <f t="shared" si="149"/>
        <v>1771.5825</v>
      </c>
      <c r="O770" s="261"/>
      <c r="P770" s="261"/>
      <c r="Q770" s="16">
        <v>2812800300</v>
      </c>
      <c r="R770" s="49" t="s">
        <v>1090</v>
      </c>
      <c r="S770" s="349">
        <v>379.53</v>
      </c>
    </row>
    <row r="771" spans="2:19">
      <c r="B771" s="215">
        <v>2812034081</v>
      </c>
      <c r="E771" s="216">
        <f t="shared" si="146"/>
        <v>1378.62</v>
      </c>
      <c r="F771" s="216">
        <v>1033.97</v>
      </c>
      <c r="G771" s="222" t="s">
        <v>938</v>
      </c>
      <c r="J771" s="49">
        <f t="shared" si="147"/>
        <v>2812034081</v>
      </c>
      <c r="K771" s="217">
        <f t="shared" si="148"/>
        <v>1378.62</v>
      </c>
      <c r="L771" s="282">
        <v>6.47</v>
      </c>
      <c r="M771" s="282">
        <f t="shared" si="141"/>
        <v>1033.97</v>
      </c>
      <c r="N771" s="282">
        <f t="shared" si="149"/>
        <v>1033.9649999999999</v>
      </c>
      <c r="O771" s="261"/>
      <c r="P771" s="261"/>
      <c r="Q771" s="345">
        <v>2812800400</v>
      </c>
      <c r="R771" s="49" t="s">
        <v>1091</v>
      </c>
      <c r="S771" s="349">
        <v>365.95</v>
      </c>
    </row>
    <row r="772" spans="2:19">
      <c r="B772" s="215">
        <v>2812037200</v>
      </c>
      <c r="E772" s="216">
        <f t="shared" si="146"/>
        <v>8.35</v>
      </c>
      <c r="F772" s="216">
        <v>6.26</v>
      </c>
      <c r="G772" s="222" t="s">
        <v>940</v>
      </c>
      <c r="J772" s="49">
        <f t="shared" si="147"/>
        <v>2812037200</v>
      </c>
      <c r="K772" s="217">
        <f t="shared" si="148"/>
        <v>8.35</v>
      </c>
      <c r="L772" s="282">
        <v>306.12</v>
      </c>
      <c r="M772" s="282">
        <f t="shared" si="141"/>
        <v>6.26</v>
      </c>
      <c r="N772" s="282">
        <f t="shared" si="149"/>
        <v>6.2624999999999993</v>
      </c>
      <c r="O772" s="261"/>
      <c r="P772" s="261"/>
      <c r="Q772" s="16">
        <v>2812800500</v>
      </c>
      <c r="R772" s="49" t="s">
        <v>1092</v>
      </c>
      <c r="S772" s="349">
        <v>679.85</v>
      </c>
    </row>
    <row r="773" spans="2:19">
      <c r="B773" s="215">
        <v>2812042801</v>
      </c>
      <c r="E773" s="216">
        <f t="shared" si="146"/>
        <v>395.93</v>
      </c>
      <c r="F773" s="216">
        <v>296.95</v>
      </c>
      <c r="G773" s="222" t="s">
        <v>941</v>
      </c>
      <c r="J773" s="49">
        <f t="shared" si="147"/>
        <v>2812042801</v>
      </c>
      <c r="K773" s="217">
        <f t="shared" si="148"/>
        <v>395.93</v>
      </c>
      <c r="L773" s="282">
        <v>81.5</v>
      </c>
      <c r="M773" s="282">
        <f t="shared" si="141"/>
        <v>296.95</v>
      </c>
      <c r="N773" s="282">
        <f t="shared" si="149"/>
        <v>296.94749999999999</v>
      </c>
      <c r="O773" s="261"/>
      <c r="P773" s="261"/>
      <c r="Q773" s="16">
        <v>2812800600</v>
      </c>
      <c r="R773" s="49" t="s">
        <v>1093</v>
      </c>
      <c r="S773" s="349">
        <v>275.57</v>
      </c>
    </row>
    <row r="774" spans="2:19">
      <c r="B774" s="215">
        <v>2812064000</v>
      </c>
      <c r="E774" s="216">
        <f t="shared" si="146"/>
        <v>105.41000000000001</v>
      </c>
      <c r="F774" s="216">
        <v>79.06</v>
      </c>
      <c r="G774" s="222" t="s">
        <v>942</v>
      </c>
      <c r="J774" s="49">
        <f t="shared" si="147"/>
        <v>2812064000</v>
      </c>
      <c r="K774" s="217">
        <f t="shared" si="148"/>
        <v>105.41000000000001</v>
      </c>
      <c r="L774" s="282">
        <v>261.07</v>
      </c>
      <c r="M774" s="282">
        <f t="shared" si="141"/>
        <v>79.06</v>
      </c>
      <c r="N774" s="282">
        <f t="shared" si="149"/>
        <v>79.057500000000005</v>
      </c>
      <c r="O774" s="261"/>
      <c r="P774" s="261"/>
      <c r="Q774" s="16">
        <v>2812802800</v>
      </c>
      <c r="R774" s="49" t="s">
        <v>1094</v>
      </c>
      <c r="S774" s="349">
        <v>2374.0600000000004</v>
      </c>
    </row>
    <row r="775" spans="2:19">
      <c r="B775" s="215">
        <v>2812074000</v>
      </c>
      <c r="E775" s="216">
        <f t="shared" si="146"/>
        <v>337.65999999999997</v>
      </c>
      <c r="F775" s="216">
        <v>253.25</v>
      </c>
      <c r="G775" s="222" t="s">
        <v>943</v>
      </c>
      <c r="J775" s="49">
        <f t="shared" si="147"/>
        <v>2812074000</v>
      </c>
      <c r="K775" s="217">
        <f t="shared" si="148"/>
        <v>337.65999999999997</v>
      </c>
      <c r="L775" s="282">
        <v>247.18</v>
      </c>
      <c r="M775" s="282">
        <f t="shared" si="141"/>
        <v>253.25</v>
      </c>
      <c r="N775" s="282">
        <f t="shared" si="149"/>
        <v>253.24499999999998</v>
      </c>
      <c r="O775" s="261"/>
      <c r="P775" s="261"/>
      <c r="Q775" s="16">
        <v>2812805100</v>
      </c>
      <c r="R775" s="49" t="s">
        <v>1095</v>
      </c>
      <c r="S775" s="349">
        <v>3056.78</v>
      </c>
    </row>
    <row r="776" spans="2:19">
      <c r="B776" s="215">
        <v>2812084000</v>
      </c>
      <c r="E776" s="216">
        <f t="shared" si="146"/>
        <v>319.7</v>
      </c>
      <c r="F776" s="216">
        <v>239.78</v>
      </c>
      <c r="G776" s="222" t="s">
        <v>944</v>
      </c>
      <c r="J776" s="49">
        <f t="shared" si="147"/>
        <v>2812084000</v>
      </c>
      <c r="K776" s="217">
        <f t="shared" si="148"/>
        <v>319.7</v>
      </c>
      <c r="L776" s="282">
        <v>158.04</v>
      </c>
      <c r="M776" s="282">
        <f t="shared" si="141"/>
        <v>239.78</v>
      </c>
      <c r="N776" s="282">
        <f t="shared" si="149"/>
        <v>239.77499999999998</v>
      </c>
      <c r="O776" s="261"/>
      <c r="P776" s="261"/>
      <c r="Q776" s="16">
        <v>2812806510</v>
      </c>
      <c r="R776" s="49" t="s">
        <v>1096</v>
      </c>
      <c r="S776" s="349">
        <v>598.75</v>
      </c>
    </row>
    <row r="777" spans="2:19">
      <c r="B777" s="215">
        <v>2812094000</v>
      </c>
      <c r="E777" s="216">
        <f t="shared" si="146"/>
        <v>204.42</v>
      </c>
      <c r="F777" s="216">
        <v>153.32</v>
      </c>
      <c r="G777" s="222" t="s">
        <v>945</v>
      </c>
      <c r="J777" s="49">
        <f t="shared" si="147"/>
        <v>2812094000</v>
      </c>
      <c r="K777" s="217">
        <f t="shared" si="148"/>
        <v>204.42</v>
      </c>
      <c r="L777" s="282">
        <v>80.930000000000007</v>
      </c>
      <c r="M777" s="282">
        <f t="shared" si="141"/>
        <v>153.32</v>
      </c>
      <c r="N777" s="282">
        <f t="shared" si="149"/>
        <v>153.315</v>
      </c>
      <c r="O777" s="261"/>
      <c r="P777" s="261"/>
      <c r="Q777" s="16">
        <v>2812810900</v>
      </c>
      <c r="R777" s="349" t="s">
        <v>1097</v>
      </c>
      <c r="S777" s="349">
        <v>535.62</v>
      </c>
    </row>
    <row r="778" spans="2:19">
      <c r="B778" s="215">
        <v>2812100000</v>
      </c>
      <c r="E778" s="216">
        <f t="shared" si="146"/>
        <v>119.14</v>
      </c>
      <c r="F778" s="216">
        <v>89.36</v>
      </c>
      <c r="G778" s="222" t="s">
        <v>946</v>
      </c>
      <c r="J778" s="49">
        <f t="shared" si="147"/>
        <v>2812100000</v>
      </c>
      <c r="K778" s="217">
        <f t="shared" si="148"/>
        <v>119.14</v>
      </c>
      <c r="L778" s="282">
        <v>113.3</v>
      </c>
      <c r="M778" s="282">
        <f t="shared" si="141"/>
        <v>89.36</v>
      </c>
      <c r="N778" s="282">
        <f t="shared" si="149"/>
        <v>89.355000000000004</v>
      </c>
      <c r="O778" s="261"/>
      <c r="P778" s="261"/>
      <c r="Q778" s="16">
        <v>2812812220</v>
      </c>
      <c r="R778" s="49" t="s">
        <v>1098</v>
      </c>
      <c r="S778" s="349">
        <v>425.38</v>
      </c>
    </row>
    <row r="779" spans="2:19">
      <c r="B779" s="215">
        <v>2812100100</v>
      </c>
      <c r="E779" s="216">
        <f t="shared" si="146"/>
        <v>166.78</v>
      </c>
      <c r="F779" s="216">
        <v>125.09</v>
      </c>
      <c r="G779" s="222" t="s">
        <v>947</v>
      </c>
      <c r="J779" s="49">
        <f t="shared" si="147"/>
        <v>2812100100</v>
      </c>
      <c r="K779" s="217">
        <f t="shared" si="148"/>
        <v>166.78</v>
      </c>
      <c r="L779" s="282">
        <v>25.56</v>
      </c>
      <c r="M779" s="282">
        <f t="shared" si="141"/>
        <v>125.09</v>
      </c>
      <c r="N779" s="282">
        <f t="shared" si="149"/>
        <v>125.08500000000001</v>
      </c>
      <c r="O779" s="261"/>
      <c r="P779" s="261"/>
      <c r="Q779" s="16">
        <v>2812815400</v>
      </c>
      <c r="R779" s="349" t="s">
        <v>1099</v>
      </c>
      <c r="S779" s="349">
        <v>793.87</v>
      </c>
    </row>
    <row r="780" spans="2:19">
      <c r="B780" s="215">
        <v>2812100200</v>
      </c>
      <c r="E780" s="216">
        <f t="shared" si="146"/>
        <v>34.839999999999996</v>
      </c>
      <c r="F780" s="216">
        <v>26.13</v>
      </c>
      <c r="G780" s="222" t="s">
        <v>948</v>
      </c>
      <c r="J780" s="49">
        <f t="shared" si="147"/>
        <v>2812100200</v>
      </c>
      <c r="K780" s="217">
        <f t="shared" si="148"/>
        <v>34.839999999999996</v>
      </c>
      <c r="L780" s="282">
        <v>27.93</v>
      </c>
      <c r="M780" s="282">
        <f t="shared" si="141"/>
        <v>26.13</v>
      </c>
      <c r="N780" s="282">
        <f t="shared" si="149"/>
        <v>26.129999999999995</v>
      </c>
      <c r="O780" s="261"/>
      <c r="P780" s="261"/>
      <c r="Q780" s="16">
        <v>2812851000</v>
      </c>
      <c r="R780" s="49" t="s">
        <v>1100</v>
      </c>
      <c r="S780" s="349">
        <v>303.13</v>
      </c>
    </row>
    <row r="781" spans="2:19">
      <c r="B781" s="215">
        <v>2812100300</v>
      </c>
      <c r="E781" s="216">
        <f t="shared" si="146"/>
        <v>34.839999999999996</v>
      </c>
      <c r="F781" s="216">
        <v>26.13</v>
      </c>
      <c r="G781" s="222" t="s">
        <v>949</v>
      </c>
      <c r="J781" s="49">
        <f t="shared" si="147"/>
        <v>2812100300</v>
      </c>
      <c r="K781" s="217">
        <f t="shared" si="148"/>
        <v>34.839999999999996</v>
      </c>
      <c r="L781" s="282">
        <v>26.84</v>
      </c>
      <c r="M781" s="282">
        <f t="shared" si="141"/>
        <v>26.13</v>
      </c>
      <c r="N781" s="282">
        <f t="shared" si="149"/>
        <v>26.129999999999995</v>
      </c>
      <c r="O781" s="261"/>
      <c r="P781" s="261"/>
      <c r="Q781" s="16">
        <v>2812870700</v>
      </c>
      <c r="R781" s="49" t="s">
        <v>1101</v>
      </c>
      <c r="S781" s="349">
        <v>618.88</v>
      </c>
    </row>
    <row r="782" spans="2:19">
      <c r="B782" s="215">
        <v>2812100400</v>
      </c>
      <c r="E782" s="216">
        <f t="shared" si="146"/>
        <v>34.839999999999996</v>
      </c>
      <c r="F782" s="216">
        <v>26.13</v>
      </c>
      <c r="G782" s="222" t="s">
        <v>950</v>
      </c>
      <c r="J782" s="49">
        <f t="shared" si="147"/>
        <v>2812100400</v>
      </c>
      <c r="K782" s="217">
        <f t="shared" si="148"/>
        <v>34.839999999999996</v>
      </c>
      <c r="L782" s="282">
        <v>37.549999999999997</v>
      </c>
      <c r="M782" s="282">
        <f t="shared" si="141"/>
        <v>26.13</v>
      </c>
      <c r="N782" s="282">
        <f t="shared" si="149"/>
        <v>26.129999999999995</v>
      </c>
      <c r="O782" s="261"/>
      <c r="P782" s="261"/>
      <c r="Q782" s="16">
        <v>2812872100</v>
      </c>
      <c r="R782" s="49" t="s">
        <v>1102</v>
      </c>
      <c r="S782" s="349">
        <v>241.10999999999999</v>
      </c>
    </row>
    <row r="783" spans="2:19">
      <c r="B783" s="215">
        <v>2812100500</v>
      </c>
      <c r="E783" s="216">
        <f t="shared" si="146"/>
        <v>51.19</v>
      </c>
      <c r="F783" s="216">
        <v>38.39</v>
      </c>
      <c r="G783" s="222" t="s">
        <v>951</v>
      </c>
      <c r="J783" s="49">
        <f t="shared" si="147"/>
        <v>2812100500</v>
      </c>
      <c r="K783" s="217">
        <f t="shared" si="148"/>
        <v>51.19</v>
      </c>
      <c r="L783" s="282">
        <v>24.56</v>
      </c>
      <c r="M783" s="282">
        <f t="shared" si="141"/>
        <v>38.39</v>
      </c>
      <c r="N783" s="282">
        <f t="shared" si="149"/>
        <v>38.392499999999998</v>
      </c>
      <c r="O783" s="261"/>
      <c r="P783" s="261"/>
      <c r="Q783" s="16">
        <v>2812881800</v>
      </c>
      <c r="R783" s="49" t="s">
        <v>1103</v>
      </c>
      <c r="S783" s="349">
        <v>731.9</v>
      </c>
    </row>
    <row r="784" spans="2:19">
      <c r="B784" s="215">
        <v>2812100600</v>
      </c>
      <c r="E784" s="216">
        <f t="shared" si="146"/>
        <v>33.479999999999997</v>
      </c>
      <c r="F784" s="216">
        <v>25.11</v>
      </c>
      <c r="G784" s="222" t="s">
        <v>952</v>
      </c>
      <c r="J784" s="49">
        <f t="shared" si="147"/>
        <v>2812100600</v>
      </c>
      <c r="K784" s="217">
        <f t="shared" si="148"/>
        <v>33.479999999999997</v>
      </c>
      <c r="L784" s="282">
        <v>51</v>
      </c>
      <c r="M784" s="282">
        <f t="shared" si="141"/>
        <v>25.11</v>
      </c>
      <c r="N784" s="282">
        <f t="shared" si="149"/>
        <v>25.11</v>
      </c>
      <c r="O784" s="261"/>
      <c r="P784" s="261"/>
      <c r="Q784" s="16">
        <v>2813002200</v>
      </c>
      <c r="R784" s="49" t="s">
        <v>1743</v>
      </c>
      <c r="S784" s="349">
        <v>0.7</v>
      </c>
    </row>
    <row r="785" spans="2:19">
      <c r="B785" s="215">
        <v>2812100900</v>
      </c>
      <c r="E785" s="216">
        <f t="shared" si="146"/>
        <v>65.83</v>
      </c>
      <c r="F785" s="216">
        <v>49.37</v>
      </c>
      <c r="G785" s="222" t="s">
        <v>953</v>
      </c>
      <c r="J785" s="49">
        <f t="shared" si="147"/>
        <v>2812100900</v>
      </c>
      <c r="K785" s="217">
        <f t="shared" si="148"/>
        <v>65.83</v>
      </c>
      <c r="L785" s="282">
        <v>47.98</v>
      </c>
      <c r="M785" s="282">
        <f t="shared" si="141"/>
        <v>49.37</v>
      </c>
      <c r="N785" s="282">
        <f t="shared" si="149"/>
        <v>49.372500000000002</v>
      </c>
      <c r="O785" s="261"/>
      <c r="P785" s="261"/>
      <c r="Q785" s="16">
        <v>2813002505</v>
      </c>
      <c r="R785" s="49" t="s">
        <v>1404</v>
      </c>
      <c r="S785" s="349">
        <v>176.97</v>
      </c>
    </row>
    <row r="786" spans="2:19">
      <c r="B786" s="215">
        <v>2812101800</v>
      </c>
      <c r="E786" s="216">
        <f t="shared" si="146"/>
        <v>61.91</v>
      </c>
      <c r="F786" s="216">
        <v>46.43</v>
      </c>
      <c r="G786" s="222" t="s">
        <v>954</v>
      </c>
      <c r="J786" s="49">
        <f t="shared" ref="J786:J817" si="150">B786*$K$13</f>
        <v>2812101800</v>
      </c>
      <c r="K786" s="217">
        <f t="shared" ref="K786:K817" si="151">VLOOKUP(J786,$Q$14:$S$1164,3,FALSE)</f>
        <v>61.91</v>
      </c>
      <c r="L786" s="282">
        <v>78.7</v>
      </c>
      <c r="M786" s="282">
        <f t="shared" si="141"/>
        <v>46.43</v>
      </c>
      <c r="N786" s="282">
        <f t="shared" ref="N786:N817" si="152">K786*$N$13</f>
        <v>46.432499999999997</v>
      </c>
      <c r="O786" s="261"/>
      <c r="P786" s="261"/>
      <c r="Q786" s="16">
        <v>2813002580</v>
      </c>
      <c r="R786" s="49" t="s">
        <v>1405</v>
      </c>
      <c r="S786" s="349">
        <v>13</v>
      </c>
    </row>
    <row r="787" spans="2:19">
      <c r="B787" s="215">
        <v>2812102220</v>
      </c>
      <c r="E787" s="216">
        <f t="shared" si="146"/>
        <v>101.57000000000001</v>
      </c>
      <c r="F787" s="216">
        <v>76.180000000000007</v>
      </c>
      <c r="G787" s="222" t="s">
        <v>955</v>
      </c>
      <c r="J787" s="49">
        <f t="shared" si="150"/>
        <v>2812102220</v>
      </c>
      <c r="K787" s="217">
        <f t="shared" si="151"/>
        <v>101.57000000000001</v>
      </c>
      <c r="L787" s="282">
        <v>109.66</v>
      </c>
      <c r="M787" s="282">
        <f t="shared" si="141"/>
        <v>76.180000000000007</v>
      </c>
      <c r="N787" s="282">
        <f t="shared" si="152"/>
        <v>76.177500000000009</v>
      </c>
      <c r="O787" s="261"/>
      <c r="P787" s="261"/>
      <c r="Q787" s="16">
        <v>2813002581</v>
      </c>
      <c r="R787" s="49" t="s">
        <v>1406</v>
      </c>
      <c r="S787" s="349">
        <v>15.7</v>
      </c>
    </row>
    <row r="788" spans="2:19">
      <c r="B788" s="215">
        <v>2812102800</v>
      </c>
      <c r="E788" s="216">
        <f t="shared" si="146"/>
        <v>199.39</v>
      </c>
      <c r="F788" s="216">
        <v>149.54</v>
      </c>
      <c r="G788" s="222" t="s">
        <v>956</v>
      </c>
      <c r="J788" s="49">
        <f t="shared" si="150"/>
        <v>2812102800</v>
      </c>
      <c r="K788" s="217">
        <f t="shared" si="151"/>
        <v>199.39</v>
      </c>
      <c r="L788" s="282">
        <v>49.46</v>
      </c>
      <c r="M788" s="282">
        <f t="shared" si="141"/>
        <v>149.54</v>
      </c>
      <c r="N788" s="282">
        <f t="shared" si="152"/>
        <v>149.54249999999999</v>
      </c>
      <c r="O788" s="261"/>
      <c r="P788" s="261"/>
      <c r="Q788" s="16">
        <v>2813002582</v>
      </c>
      <c r="R788" s="49" t="s">
        <v>1407</v>
      </c>
      <c r="S788" s="349">
        <v>19.240000000000002</v>
      </c>
    </row>
    <row r="789" spans="2:19">
      <c r="B789" s="215">
        <v>2812104000</v>
      </c>
      <c r="E789" s="216">
        <f t="shared" si="146"/>
        <v>67.400000000000006</v>
      </c>
      <c r="F789" s="216">
        <v>50.55</v>
      </c>
      <c r="G789" s="222" t="s">
        <v>957</v>
      </c>
      <c r="J789" s="49">
        <f t="shared" si="150"/>
        <v>2812104000</v>
      </c>
      <c r="K789" s="217">
        <f t="shared" si="151"/>
        <v>67.400000000000006</v>
      </c>
      <c r="L789" s="282">
        <v>52.49</v>
      </c>
      <c r="M789" s="282">
        <f t="shared" si="141"/>
        <v>50.55</v>
      </c>
      <c r="N789" s="282">
        <f t="shared" si="152"/>
        <v>50.550000000000004</v>
      </c>
      <c r="O789" s="261"/>
      <c r="P789" s="261"/>
      <c r="Q789" s="16">
        <v>2813002583</v>
      </c>
      <c r="R789" t="s">
        <v>1408</v>
      </c>
      <c r="S789" s="349">
        <v>24.450000000000003</v>
      </c>
    </row>
    <row r="790" spans="2:19">
      <c r="B790" s="215">
        <v>2812104100</v>
      </c>
      <c r="E790" s="216">
        <f t="shared" si="146"/>
        <v>71.540000000000006</v>
      </c>
      <c r="F790" s="216">
        <v>53.66</v>
      </c>
      <c r="G790" s="222" t="s">
        <v>958</v>
      </c>
      <c r="J790" s="49">
        <f t="shared" si="150"/>
        <v>2812104100</v>
      </c>
      <c r="K790" s="217">
        <f t="shared" si="151"/>
        <v>71.540000000000006</v>
      </c>
      <c r="L790" s="282">
        <v>128.03</v>
      </c>
      <c r="M790" s="282">
        <f t="shared" si="141"/>
        <v>53.66</v>
      </c>
      <c r="N790" s="282">
        <f t="shared" si="152"/>
        <v>53.655000000000001</v>
      </c>
      <c r="O790" s="261"/>
      <c r="P790" s="261"/>
      <c r="Q790" s="16">
        <v>2813002680</v>
      </c>
      <c r="R790" t="s">
        <v>1409</v>
      </c>
      <c r="S790" s="349">
        <v>13.27</v>
      </c>
    </row>
    <row r="791" spans="2:19">
      <c r="B791" s="215">
        <v>2812105100</v>
      </c>
      <c r="E791" s="216">
        <f t="shared" si="146"/>
        <v>165.2</v>
      </c>
      <c r="F791" s="216">
        <v>123.9</v>
      </c>
      <c r="G791" s="222" t="s">
        <v>959</v>
      </c>
      <c r="J791" s="49">
        <f t="shared" si="150"/>
        <v>2812105100</v>
      </c>
      <c r="K791" s="217">
        <f t="shared" si="151"/>
        <v>165.2</v>
      </c>
      <c r="L791" s="282">
        <v>53.84</v>
      </c>
      <c r="M791" s="282">
        <f t="shared" si="141"/>
        <v>123.9</v>
      </c>
      <c r="N791" s="282">
        <f t="shared" si="152"/>
        <v>123.89999999999999</v>
      </c>
      <c r="O791" s="261"/>
      <c r="P791" s="261"/>
      <c r="Q791" s="16">
        <v>2813002681</v>
      </c>
      <c r="R791" t="s">
        <v>1410</v>
      </c>
      <c r="S791" s="349">
        <v>15.95</v>
      </c>
    </row>
    <row r="792" spans="2:19">
      <c r="B792" s="215">
        <v>2812105400</v>
      </c>
      <c r="E792" s="216">
        <f t="shared" si="146"/>
        <v>69.48</v>
      </c>
      <c r="F792" s="216">
        <v>52.11</v>
      </c>
      <c r="G792" s="222" t="s">
        <v>960</v>
      </c>
      <c r="J792" s="49">
        <f t="shared" si="150"/>
        <v>2812105400</v>
      </c>
      <c r="K792" s="217">
        <f t="shared" si="151"/>
        <v>69.48</v>
      </c>
      <c r="L792" s="282">
        <v>178.67</v>
      </c>
      <c r="M792" s="282">
        <f t="shared" si="141"/>
        <v>52.11</v>
      </c>
      <c r="N792" s="282">
        <f t="shared" si="152"/>
        <v>52.11</v>
      </c>
      <c r="O792" s="261"/>
      <c r="P792" s="261"/>
      <c r="Q792" s="345">
        <v>2813002682</v>
      </c>
      <c r="R792" s="49" t="s">
        <v>1411</v>
      </c>
      <c r="S792" s="349">
        <v>18.57</v>
      </c>
    </row>
    <row r="793" spans="2:19">
      <c r="B793" s="215">
        <v>2812105500</v>
      </c>
      <c r="E793" s="216">
        <f t="shared" si="146"/>
        <v>230.54</v>
      </c>
      <c r="F793" s="216">
        <v>172.91</v>
      </c>
      <c r="G793" s="222" t="s">
        <v>961</v>
      </c>
      <c r="J793" s="49">
        <f t="shared" si="150"/>
        <v>2812105500</v>
      </c>
      <c r="K793" s="217">
        <f t="shared" si="151"/>
        <v>230.54</v>
      </c>
      <c r="L793" s="282">
        <v>32.31</v>
      </c>
      <c r="M793" s="282">
        <f t="shared" si="141"/>
        <v>172.91</v>
      </c>
      <c r="N793" s="282">
        <f t="shared" si="152"/>
        <v>172.905</v>
      </c>
      <c r="O793" s="261"/>
      <c r="P793" s="261"/>
      <c r="Q793" s="345">
        <v>2813002700</v>
      </c>
      <c r="R793" s="49" t="s">
        <v>1412</v>
      </c>
      <c r="S793" s="349">
        <v>17.220000000000002</v>
      </c>
    </row>
    <row r="794" spans="2:19">
      <c r="B794" s="215">
        <v>2812106520</v>
      </c>
      <c r="E794" s="216">
        <f t="shared" si="146"/>
        <v>41.71</v>
      </c>
      <c r="F794" s="216">
        <v>31.28</v>
      </c>
      <c r="G794" s="222" t="s">
        <v>962</v>
      </c>
      <c r="J794" s="49">
        <f t="shared" si="150"/>
        <v>2812106520</v>
      </c>
      <c r="K794" s="217">
        <f t="shared" si="151"/>
        <v>41.71</v>
      </c>
      <c r="L794" s="282">
        <v>83.44</v>
      </c>
      <c r="M794" s="282">
        <f t="shared" si="141"/>
        <v>31.28</v>
      </c>
      <c r="N794" s="282">
        <f t="shared" si="152"/>
        <v>31.282499999999999</v>
      </c>
      <c r="O794" s="261"/>
      <c r="P794" s="261"/>
      <c r="Q794" s="345">
        <v>2813002701</v>
      </c>
      <c r="R794" s="49" t="s">
        <v>1413</v>
      </c>
      <c r="S794" s="349">
        <v>3.5</v>
      </c>
    </row>
    <row r="795" spans="2:19">
      <c r="B795" s="215">
        <v>2812106700</v>
      </c>
      <c r="E795" s="216">
        <f t="shared" si="146"/>
        <v>107.66000000000001</v>
      </c>
      <c r="F795" s="216">
        <v>80.75</v>
      </c>
      <c r="G795" s="222" t="s">
        <v>963</v>
      </c>
      <c r="J795" s="49">
        <f t="shared" si="150"/>
        <v>2812106700</v>
      </c>
      <c r="K795" s="217">
        <f t="shared" si="151"/>
        <v>107.66000000000001</v>
      </c>
      <c r="L795" s="282">
        <v>49.02</v>
      </c>
      <c r="M795" s="282">
        <f t="shared" si="141"/>
        <v>80.75</v>
      </c>
      <c r="N795" s="282">
        <f t="shared" si="152"/>
        <v>80.745000000000005</v>
      </c>
      <c r="O795" s="261"/>
      <c r="P795" s="261"/>
      <c r="Q795" s="345">
        <v>2813002702</v>
      </c>
      <c r="R795" s="49" t="s">
        <v>1414</v>
      </c>
      <c r="S795" s="349">
        <v>3.5</v>
      </c>
    </row>
    <row r="796" spans="2:19">
      <c r="B796" s="215">
        <v>2812111400</v>
      </c>
      <c r="E796" s="216">
        <f t="shared" si="146"/>
        <v>63.269999999999996</v>
      </c>
      <c r="F796" s="216">
        <v>47.45</v>
      </c>
      <c r="G796" s="222" t="s">
        <v>964</v>
      </c>
      <c r="J796" s="49">
        <f t="shared" si="150"/>
        <v>2812111400</v>
      </c>
      <c r="K796" s="217">
        <f t="shared" si="151"/>
        <v>63.269999999999996</v>
      </c>
      <c r="L796" s="282">
        <v>47.98</v>
      </c>
      <c r="M796" s="282">
        <f t="shared" si="141"/>
        <v>47.45</v>
      </c>
      <c r="N796" s="282">
        <f t="shared" si="152"/>
        <v>47.452500000000001</v>
      </c>
      <c r="O796" s="261"/>
      <c r="P796" s="261"/>
      <c r="Q796" s="345">
        <v>2813004000</v>
      </c>
      <c r="R796" s="49" t="s">
        <v>1415</v>
      </c>
      <c r="S796" s="349">
        <v>63.93</v>
      </c>
    </row>
    <row r="797" spans="2:19">
      <c r="B797" s="215">
        <v>2812111800</v>
      </c>
      <c r="E797" s="216">
        <f t="shared" si="146"/>
        <v>61.91</v>
      </c>
      <c r="F797" s="216">
        <v>46.43</v>
      </c>
      <c r="G797" s="222" t="s">
        <v>965</v>
      </c>
      <c r="J797" s="49">
        <f t="shared" si="150"/>
        <v>2812111800</v>
      </c>
      <c r="K797" s="217">
        <f t="shared" si="151"/>
        <v>61.91</v>
      </c>
      <c r="L797" s="282">
        <v>46.13</v>
      </c>
      <c r="M797" s="282">
        <f t="shared" si="141"/>
        <v>46.43</v>
      </c>
      <c r="N797" s="282">
        <f t="shared" si="152"/>
        <v>46.432499999999997</v>
      </c>
      <c r="O797" s="261"/>
      <c r="P797" s="261"/>
      <c r="Q797" s="345">
        <v>2813014000</v>
      </c>
      <c r="R797" s="49" t="s">
        <v>1744</v>
      </c>
      <c r="S797" s="349">
        <v>43.8</v>
      </c>
    </row>
    <row r="798" spans="2:19">
      <c r="B798" s="215">
        <v>2812112000</v>
      </c>
      <c r="E798" s="216">
        <f t="shared" si="146"/>
        <v>59.53</v>
      </c>
      <c r="F798" s="216">
        <v>44.65</v>
      </c>
      <c r="G798" s="222" t="s">
        <v>966</v>
      </c>
      <c r="J798" s="49">
        <f t="shared" si="150"/>
        <v>2812112000</v>
      </c>
      <c r="K798" s="217">
        <f t="shared" si="151"/>
        <v>59.53</v>
      </c>
      <c r="L798" s="282">
        <v>61.58</v>
      </c>
      <c r="M798" s="282">
        <f t="shared" si="141"/>
        <v>44.65</v>
      </c>
      <c r="N798" s="282">
        <f t="shared" si="152"/>
        <v>44.647500000000001</v>
      </c>
      <c r="O798" s="261"/>
      <c r="P798" s="261"/>
      <c r="Q798" s="345">
        <v>2813024000</v>
      </c>
      <c r="R798" s="49" t="s">
        <v>1417</v>
      </c>
      <c r="S798" s="349">
        <v>173.88</v>
      </c>
    </row>
    <row r="799" spans="2:19">
      <c r="B799" s="215">
        <v>2812112220</v>
      </c>
      <c r="E799" s="216">
        <f t="shared" si="146"/>
        <v>88.47</v>
      </c>
      <c r="F799" s="216">
        <v>66.349999999999994</v>
      </c>
      <c r="G799" s="222" t="s">
        <v>967</v>
      </c>
      <c r="J799" s="49">
        <f t="shared" si="150"/>
        <v>2812112220</v>
      </c>
      <c r="K799" s="217">
        <f t="shared" si="151"/>
        <v>88.47</v>
      </c>
      <c r="L799" s="282">
        <v>57.3</v>
      </c>
      <c r="M799" s="282">
        <f t="shared" si="141"/>
        <v>66.349999999999994</v>
      </c>
      <c r="N799" s="282">
        <f t="shared" si="152"/>
        <v>66.352499999999992</v>
      </c>
      <c r="O799" s="261"/>
      <c r="P799" s="261"/>
      <c r="Q799" s="345">
        <v>2813034000</v>
      </c>
      <c r="R799" s="49" t="s">
        <v>1418</v>
      </c>
      <c r="S799" s="349">
        <v>43.21</v>
      </c>
    </row>
    <row r="800" spans="2:19">
      <c r="B800" s="215">
        <v>2812115400</v>
      </c>
      <c r="E800" s="216">
        <f t="shared" si="146"/>
        <v>73.940000000000012</v>
      </c>
      <c r="F800" s="216">
        <v>55.46</v>
      </c>
      <c r="G800" s="222" t="s">
        <v>968</v>
      </c>
      <c r="J800" s="49">
        <f t="shared" si="150"/>
        <v>2812115400</v>
      </c>
      <c r="K800" s="217">
        <f t="shared" si="151"/>
        <v>73.940000000000012</v>
      </c>
      <c r="L800" s="282">
        <v>227.89</v>
      </c>
      <c r="M800" s="282">
        <f t="shared" ref="M800:M863" si="153">ROUND(N800,2)</f>
        <v>55.46</v>
      </c>
      <c r="N800" s="282">
        <f t="shared" si="152"/>
        <v>55.455000000000013</v>
      </c>
      <c r="O800" s="261"/>
      <c r="P800" s="261"/>
      <c r="Q800" s="345">
        <v>2813044000</v>
      </c>
      <c r="R800" s="49" t="s">
        <v>1745</v>
      </c>
      <c r="S800" s="349">
        <v>1.54</v>
      </c>
    </row>
    <row r="801" spans="2:19">
      <c r="B801" s="215">
        <v>2812200000</v>
      </c>
      <c r="E801" s="216">
        <f t="shared" si="146"/>
        <v>335.49</v>
      </c>
      <c r="F801" s="216">
        <v>251.62</v>
      </c>
      <c r="G801" s="222" t="s">
        <v>969</v>
      </c>
      <c r="J801" s="49">
        <f t="shared" si="150"/>
        <v>2812200000</v>
      </c>
      <c r="K801" s="217">
        <f t="shared" si="151"/>
        <v>335.49</v>
      </c>
      <c r="L801" s="282">
        <v>175.37</v>
      </c>
      <c r="M801" s="282">
        <f t="shared" si="153"/>
        <v>251.62</v>
      </c>
      <c r="N801" s="282">
        <f t="shared" si="152"/>
        <v>251.61750000000001</v>
      </c>
      <c r="O801" s="261"/>
      <c r="P801" s="261"/>
      <c r="Q801" s="345">
        <v>2813054000</v>
      </c>
      <c r="R801" s="49" t="s">
        <v>1420</v>
      </c>
      <c r="S801" s="349">
        <v>173.41</v>
      </c>
    </row>
    <row r="802" spans="2:19">
      <c r="B802" s="215">
        <v>2812200100</v>
      </c>
      <c r="E802" s="216">
        <f t="shared" si="146"/>
        <v>258.14999999999998</v>
      </c>
      <c r="F802" s="216">
        <v>193.61</v>
      </c>
      <c r="G802" s="222" t="s">
        <v>1746</v>
      </c>
      <c r="J802" s="49">
        <f t="shared" si="150"/>
        <v>2812200100</v>
      </c>
      <c r="K802" s="217">
        <f t="shared" si="151"/>
        <v>258.14999999999998</v>
      </c>
      <c r="L802" s="282">
        <v>175.37</v>
      </c>
      <c r="M802" s="282">
        <f t="shared" si="153"/>
        <v>193.61</v>
      </c>
      <c r="N802" s="282">
        <f t="shared" si="152"/>
        <v>193.61249999999998</v>
      </c>
      <c r="O802" s="261"/>
      <c r="P802" s="261"/>
      <c r="Q802" s="345">
        <v>2813064000</v>
      </c>
      <c r="R802" s="49" t="s">
        <v>1421</v>
      </c>
      <c r="S802" s="349">
        <v>25.240000000000002</v>
      </c>
    </row>
    <row r="803" spans="2:19">
      <c r="B803" s="215">
        <v>2812200100</v>
      </c>
      <c r="E803" s="216">
        <f t="shared" si="146"/>
        <v>258.14999999999998</v>
      </c>
      <c r="F803" s="216">
        <v>193.61</v>
      </c>
      <c r="G803" s="222" t="s">
        <v>970</v>
      </c>
      <c r="J803" s="49">
        <f t="shared" si="150"/>
        <v>2812200100</v>
      </c>
      <c r="K803" s="217">
        <f t="shared" si="151"/>
        <v>258.14999999999998</v>
      </c>
      <c r="L803" s="282">
        <v>47.65</v>
      </c>
      <c r="M803" s="282">
        <f t="shared" si="153"/>
        <v>193.61</v>
      </c>
      <c r="N803" s="282">
        <f t="shared" si="152"/>
        <v>193.61249999999998</v>
      </c>
      <c r="O803" s="261"/>
      <c r="P803" s="261"/>
      <c r="Q803" s="345">
        <v>2813074000</v>
      </c>
      <c r="R803" s="49" t="s">
        <v>1422</v>
      </c>
      <c r="S803" s="349">
        <v>30.89</v>
      </c>
    </row>
    <row r="804" spans="2:19">
      <c r="B804" s="215">
        <v>2812200200</v>
      </c>
      <c r="E804" s="216">
        <f t="shared" si="146"/>
        <v>64.940000000000012</v>
      </c>
      <c r="F804" s="216">
        <v>48.71</v>
      </c>
      <c r="G804" s="222" t="s">
        <v>971</v>
      </c>
      <c r="J804" s="49">
        <f t="shared" si="150"/>
        <v>2812200200</v>
      </c>
      <c r="K804" s="217">
        <f t="shared" si="151"/>
        <v>64.940000000000012</v>
      </c>
      <c r="L804" s="282">
        <v>52.08</v>
      </c>
      <c r="M804" s="282">
        <f t="shared" si="153"/>
        <v>48.71</v>
      </c>
      <c r="N804" s="282">
        <f t="shared" si="152"/>
        <v>48.705000000000013</v>
      </c>
      <c r="O804" s="261"/>
      <c r="P804" s="261"/>
      <c r="Q804" s="345">
        <v>2813100000</v>
      </c>
      <c r="R804" s="49" t="s">
        <v>1423</v>
      </c>
      <c r="S804" s="349">
        <v>53.98</v>
      </c>
    </row>
    <row r="805" spans="2:19">
      <c r="B805" s="215">
        <v>2812200300</v>
      </c>
      <c r="E805" s="216">
        <f t="shared" si="146"/>
        <v>64.940000000000012</v>
      </c>
      <c r="F805" s="216">
        <v>48.71</v>
      </c>
      <c r="G805" s="222" t="s">
        <v>972</v>
      </c>
      <c r="J805" s="49">
        <f t="shared" si="150"/>
        <v>2812200300</v>
      </c>
      <c r="K805" s="217">
        <f t="shared" si="151"/>
        <v>64.940000000000012</v>
      </c>
      <c r="L805" s="282">
        <v>50.06</v>
      </c>
      <c r="M805" s="282">
        <f t="shared" si="153"/>
        <v>48.71</v>
      </c>
      <c r="N805" s="282">
        <f t="shared" si="152"/>
        <v>48.705000000000013</v>
      </c>
      <c r="O805" s="261"/>
      <c r="P805" s="261"/>
      <c r="Q805" s="345">
        <v>2813100280</v>
      </c>
      <c r="R805" s="49" t="s">
        <v>1424</v>
      </c>
      <c r="S805" s="349">
        <v>6.99</v>
      </c>
    </row>
    <row r="806" spans="2:19">
      <c r="B806" s="215">
        <v>2812200400</v>
      </c>
      <c r="E806" s="216">
        <f t="shared" si="146"/>
        <v>64.940000000000012</v>
      </c>
      <c r="F806" s="216">
        <v>48.71</v>
      </c>
      <c r="G806" s="222" t="s">
        <v>973</v>
      </c>
      <c r="J806" s="49">
        <f t="shared" si="150"/>
        <v>2812200400</v>
      </c>
      <c r="K806" s="217">
        <f t="shared" si="151"/>
        <v>64.940000000000012</v>
      </c>
      <c r="L806" s="282">
        <v>69.989999999999995</v>
      </c>
      <c r="M806" s="282">
        <f t="shared" si="153"/>
        <v>48.71</v>
      </c>
      <c r="N806" s="282">
        <f t="shared" si="152"/>
        <v>48.705000000000013</v>
      </c>
      <c r="O806" s="261"/>
      <c r="P806" s="261"/>
      <c r="Q806" s="345">
        <v>2813100281</v>
      </c>
      <c r="R806" s="49" t="s">
        <v>1425</v>
      </c>
      <c r="S806" s="349">
        <v>32.449999999999996</v>
      </c>
    </row>
    <row r="807" spans="2:19">
      <c r="B807" s="215">
        <v>2812200500</v>
      </c>
      <c r="E807" s="216">
        <f t="shared" si="146"/>
        <v>90.31</v>
      </c>
      <c r="F807" s="216">
        <v>67.73</v>
      </c>
      <c r="G807" s="222" t="s">
        <v>974</v>
      </c>
      <c r="J807" s="49">
        <f t="shared" si="150"/>
        <v>2812200500</v>
      </c>
      <c r="K807" s="217">
        <f t="shared" si="151"/>
        <v>90.31</v>
      </c>
      <c r="L807" s="282">
        <v>45.8</v>
      </c>
      <c r="M807" s="282">
        <f t="shared" si="153"/>
        <v>67.73</v>
      </c>
      <c r="N807" s="282">
        <f t="shared" si="152"/>
        <v>67.732500000000002</v>
      </c>
      <c r="O807" s="261"/>
      <c r="P807" s="261"/>
      <c r="Q807" s="345">
        <v>2813100380</v>
      </c>
      <c r="R807" s="49" t="s">
        <v>1426</v>
      </c>
      <c r="S807" s="349">
        <v>6.9399999999999995</v>
      </c>
    </row>
    <row r="808" spans="2:19">
      <c r="B808" s="215">
        <v>2812200600</v>
      </c>
      <c r="E808" s="216">
        <f t="shared" si="146"/>
        <v>62.419999999999995</v>
      </c>
      <c r="F808" s="216">
        <v>46.82</v>
      </c>
      <c r="G808" s="222" t="s">
        <v>975</v>
      </c>
      <c r="J808" s="49">
        <f t="shared" si="150"/>
        <v>2812200600</v>
      </c>
      <c r="K808" s="217">
        <f t="shared" si="151"/>
        <v>62.419999999999995</v>
      </c>
      <c r="L808" s="282">
        <v>85.61</v>
      </c>
      <c r="M808" s="282">
        <f t="shared" si="153"/>
        <v>46.82</v>
      </c>
      <c r="N808" s="282">
        <f t="shared" si="152"/>
        <v>46.814999999999998</v>
      </c>
      <c r="O808" s="261"/>
      <c r="P808" s="261"/>
      <c r="Q808" s="345">
        <v>2813100381</v>
      </c>
      <c r="R808" s="49" t="s">
        <v>1427</v>
      </c>
      <c r="S808" s="349">
        <v>28.110000000000003</v>
      </c>
    </row>
    <row r="809" spans="2:19">
      <c r="B809" s="215">
        <v>2812202220</v>
      </c>
      <c r="E809" s="216">
        <f t="shared" si="146"/>
        <v>110.46000000000001</v>
      </c>
      <c r="F809" s="216">
        <v>82.85</v>
      </c>
      <c r="G809" s="222" t="s">
        <v>976</v>
      </c>
      <c r="J809" s="49">
        <f t="shared" si="150"/>
        <v>2812202220</v>
      </c>
      <c r="K809" s="217">
        <f t="shared" si="151"/>
        <v>110.46000000000001</v>
      </c>
      <c r="L809" s="282">
        <v>122.27</v>
      </c>
      <c r="M809" s="282">
        <f t="shared" si="153"/>
        <v>82.85</v>
      </c>
      <c r="N809" s="282">
        <f t="shared" si="152"/>
        <v>82.844999999999999</v>
      </c>
      <c r="O809" s="261"/>
      <c r="P809" s="261"/>
      <c r="Q809" s="345">
        <v>2813100480</v>
      </c>
      <c r="R809" s="49" t="s">
        <v>1428</v>
      </c>
      <c r="S809" s="349">
        <v>8.25</v>
      </c>
    </row>
    <row r="810" spans="2:19">
      <c r="B810" s="215">
        <v>2812202800</v>
      </c>
      <c r="E810" s="216">
        <f t="shared" si="146"/>
        <v>225.58</v>
      </c>
      <c r="F810" s="216">
        <v>169.19</v>
      </c>
      <c r="G810" s="222" t="s">
        <v>977</v>
      </c>
      <c r="J810" s="49">
        <f t="shared" si="150"/>
        <v>2812202800</v>
      </c>
      <c r="K810" s="217">
        <f t="shared" si="151"/>
        <v>225.58</v>
      </c>
      <c r="L810" s="282">
        <v>195.45</v>
      </c>
      <c r="M810" s="282">
        <f t="shared" si="153"/>
        <v>169.19</v>
      </c>
      <c r="N810" s="282">
        <f t="shared" si="152"/>
        <v>169.185</v>
      </c>
      <c r="O810" s="261"/>
      <c r="P810" s="261"/>
      <c r="Q810" s="345">
        <v>2813100580</v>
      </c>
      <c r="R810" s="49" t="s">
        <v>1429</v>
      </c>
      <c r="S810" s="349">
        <v>10.29</v>
      </c>
    </row>
    <row r="811" spans="2:19">
      <c r="B811" s="215">
        <v>2812205100</v>
      </c>
      <c r="E811" s="216">
        <f t="shared" si="146"/>
        <v>252.17999999999998</v>
      </c>
      <c r="F811" s="216">
        <v>189.14</v>
      </c>
      <c r="G811" s="222" t="s">
        <v>978</v>
      </c>
      <c r="J811" s="49">
        <f t="shared" si="150"/>
        <v>2812205100</v>
      </c>
      <c r="K811" s="217">
        <f t="shared" si="151"/>
        <v>252.17999999999998</v>
      </c>
      <c r="L811" s="282">
        <v>277.18</v>
      </c>
      <c r="M811" s="282">
        <f t="shared" si="153"/>
        <v>189.14</v>
      </c>
      <c r="N811" s="282">
        <f t="shared" si="152"/>
        <v>189.13499999999999</v>
      </c>
      <c r="O811" s="261"/>
      <c r="P811" s="261"/>
      <c r="Q811" s="345">
        <v>2813100680</v>
      </c>
      <c r="R811" s="49" t="s">
        <v>1430</v>
      </c>
      <c r="S811" s="349">
        <v>10.01</v>
      </c>
    </row>
    <row r="812" spans="2:19">
      <c r="B812" s="215">
        <v>2812205500</v>
      </c>
      <c r="E812" s="216">
        <f t="shared" si="146"/>
        <v>357.64</v>
      </c>
      <c r="F812" s="216">
        <v>268.23</v>
      </c>
      <c r="G812" s="222" t="s">
        <v>979</v>
      </c>
      <c r="J812" s="49">
        <f t="shared" si="150"/>
        <v>2812205500</v>
      </c>
      <c r="K812" s="217">
        <f t="shared" si="151"/>
        <v>357.64</v>
      </c>
      <c r="L812" s="282">
        <v>47.99</v>
      </c>
      <c r="M812" s="282">
        <f t="shared" si="153"/>
        <v>268.23</v>
      </c>
      <c r="N812" s="282">
        <f t="shared" si="152"/>
        <v>268.23</v>
      </c>
      <c r="O812" s="261"/>
      <c r="P812" s="261"/>
      <c r="Q812" s="345">
        <v>2813101300</v>
      </c>
      <c r="R812" s="49" t="s">
        <v>1431</v>
      </c>
      <c r="S812" s="349">
        <v>12.37</v>
      </c>
    </row>
    <row r="813" spans="2:19">
      <c r="B813" s="215">
        <v>2812206520</v>
      </c>
      <c r="E813" s="216">
        <f t="shared" si="146"/>
        <v>61.919999999999995</v>
      </c>
      <c r="F813" s="216">
        <v>46.44</v>
      </c>
      <c r="G813" s="222" t="s">
        <v>980</v>
      </c>
      <c r="J813" s="49">
        <f t="shared" si="150"/>
        <v>2812206520</v>
      </c>
      <c r="K813" s="217">
        <f t="shared" si="151"/>
        <v>61.919999999999995</v>
      </c>
      <c r="L813" s="282">
        <v>74.44</v>
      </c>
      <c r="M813" s="282">
        <f t="shared" si="153"/>
        <v>46.44</v>
      </c>
      <c r="N813" s="282">
        <f t="shared" si="152"/>
        <v>46.44</v>
      </c>
      <c r="O813" s="261"/>
      <c r="P813" s="261"/>
      <c r="Q813" s="345">
        <v>2813101780</v>
      </c>
      <c r="R813" s="49" t="s">
        <v>1432</v>
      </c>
      <c r="S813" s="349">
        <v>9.9499999999999993</v>
      </c>
    </row>
    <row r="814" spans="2:19">
      <c r="B814" s="215">
        <v>2812206700</v>
      </c>
      <c r="E814" s="216">
        <f t="shared" si="146"/>
        <v>96.04</v>
      </c>
      <c r="F814" s="216">
        <v>72.03</v>
      </c>
      <c r="G814" s="222" t="s">
        <v>981</v>
      </c>
      <c r="J814" s="49">
        <f t="shared" si="150"/>
        <v>2812206700</v>
      </c>
      <c r="K814" s="217">
        <f t="shared" si="151"/>
        <v>96.04</v>
      </c>
      <c r="L814" s="282">
        <v>104.01</v>
      </c>
      <c r="M814" s="282">
        <f t="shared" si="153"/>
        <v>72.03</v>
      </c>
      <c r="N814" s="282">
        <f t="shared" si="152"/>
        <v>72.03</v>
      </c>
      <c r="O814" s="261"/>
      <c r="P814" s="261"/>
      <c r="Q814" s="345">
        <v>2813101980</v>
      </c>
      <c r="R814" s="49" t="s">
        <v>1433</v>
      </c>
      <c r="S814" s="349">
        <v>9.7099999999999991</v>
      </c>
    </row>
    <row r="815" spans="2:19">
      <c r="B815" s="215">
        <v>2812210700</v>
      </c>
      <c r="E815" s="216">
        <f t="shared" si="146"/>
        <v>134.22</v>
      </c>
      <c r="F815" s="216">
        <v>100.67</v>
      </c>
      <c r="G815" s="222" t="s">
        <v>982</v>
      </c>
      <c r="J815" s="49">
        <f t="shared" si="150"/>
        <v>2812210700</v>
      </c>
      <c r="K815" s="217">
        <f t="shared" si="151"/>
        <v>134.22</v>
      </c>
      <c r="L815" s="282">
        <v>95.18</v>
      </c>
      <c r="M815" s="282">
        <f t="shared" si="153"/>
        <v>100.67</v>
      </c>
      <c r="N815" s="282">
        <f t="shared" si="152"/>
        <v>100.66499999999999</v>
      </c>
      <c r="O815" s="261"/>
      <c r="P815" s="261"/>
      <c r="Q815" s="345">
        <v>2813102200</v>
      </c>
      <c r="R815" s="49" t="s">
        <v>1434</v>
      </c>
      <c r="S815" s="349">
        <v>10.26</v>
      </c>
    </row>
    <row r="816" spans="2:19">
      <c r="B816" s="215">
        <v>2812210900</v>
      </c>
      <c r="E816" s="216">
        <f t="shared" si="146"/>
        <v>122.82000000000001</v>
      </c>
      <c r="F816" s="216">
        <v>92.12</v>
      </c>
      <c r="G816" s="222" t="s">
        <v>983</v>
      </c>
      <c r="J816" s="49">
        <f t="shared" si="150"/>
        <v>2812210900</v>
      </c>
      <c r="K816" s="217">
        <f t="shared" si="151"/>
        <v>122.82000000000001</v>
      </c>
      <c r="L816" s="282">
        <v>89.57</v>
      </c>
      <c r="M816" s="282">
        <f t="shared" si="153"/>
        <v>92.12</v>
      </c>
      <c r="N816" s="282">
        <f t="shared" si="152"/>
        <v>92.115000000000009</v>
      </c>
      <c r="O816" s="261"/>
      <c r="P816" s="261"/>
      <c r="Q816" s="345">
        <v>2813102800</v>
      </c>
      <c r="R816" s="49" t="s">
        <v>1435</v>
      </c>
      <c r="S816" s="349">
        <v>13.58</v>
      </c>
    </row>
    <row r="817" spans="2:19">
      <c r="B817" s="215">
        <v>2812211800</v>
      </c>
      <c r="E817" s="216">
        <f t="shared" si="146"/>
        <v>115.57000000000001</v>
      </c>
      <c r="F817" s="216">
        <v>86.68</v>
      </c>
      <c r="G817" s="222" t="s">
        <v>984</v>
      </c>
      <c r="J817" s="49">
        <f t="shared" si="150"/>
        <v>2812211800</v>
      </c>
      <c r="K817" s="217">
        <f t="shared" si="151"/>
        <v>115.57000000000001</v>
      </c>
      <c r="L817" s="282">
        <v>15.07</v>
      </c>
      <c r="M817" s="282">
        <f t="shared" si="153"/>
        <v>86.68</v>
      </c>
      <c r="N817" s="282">
        <f t="shared" si="152"/>
        <v>86.677500000000009</v>
      </c>
      <c r="O817" s="261"/>
      <c r="P817" s="261"/>
      <c r="Q817" s="345">
        <v>2813105180</v>
      </c>
      <c r="R817" s="49" t="s">
        <v>1436</v>
      </c>
      <c r="S817" s="349">
        <v>78.150000000000006</v>
      </c>
    </row>
    <row r="818" spans="2:19">
      <c r="B818" s="215">
        <v>2812212100</v>
      </c>
      <c r="E818" s="216">
        <f t="shared" ref="E818:E881" si="154">VLOOKUP(B818,$Q$14:$S$1164,3,FALSE)</f>
        <v>19.430000000000003</v>
      </c>
      <c r="F818" s="216">
        <v>14.57</v>
      </c>
      <c r="G818" s="222" t="s">
        <v>985</v>
      </c>
      <c r="J818" s="49">
        <f t="shared" ref="J818:J849" si="155">B818*$K$13</f>
        <v>2812212100</v>
      </c>
      <c r="K818" s="217">
        <f t="shared" ref="K818:K849" si="156">VLOOKUP(J818,$Q$14:$S$1164,3,FALSE)</f>
        <v>19.430000000000003</v>
      </c>
      <c r="L818" s="282">
        <v>163.43</v>
      </c>
      <c r="M818" s="282">
        <f t="shared" si="153"/>
        <v>14.57</v>
      </c>
      <c r="N818" s="282">
        <f t="shared" ref="N818:N849" si="157">K818*$N$13</f>
        <v>14.572500000000002</v>
      </c>
      <c r="O818" s="261"/>
      <c r="P818" s="261"/>
      <c r="Q818" s="345">
        <v>2813110000</v>
      </c>
      <c r="R818" s="49" t="s">
        <v>1437</v>
      </c>
      <c r="S818" s="349">
        <v>223.17999999999998</v>
      </c>
    </row>
    <row r="819" spans="2:19">
      <c r="B819" s="215">
        <v>2812212220</v>
      </c>
      <c r="E819" s="216">
        <f t="shared" si="154"/>
        <v>234.79999999999998</v>
      </c>
      <c r="F819" s="216">
        <v>176.1</v>
      </c>
      <c r="G819" s="222" t="s">
        <v>986</v>
      </c>
      <c r="J819" s="49">
        <f t="shared" si="155"/>
        <v>2812212220</v>
      </c>
      <c r="K819" s="217">
        <f t="shared" si="156"/>
        <v>234.79999999999998</v>
      </c>
      <c r="L819" s="282">
        <v>110.14</v>
      </c>
      <c r="M819" s="282">
        <f t="shared" si="153"/>
        <v>176.1</v>
      </c>
      <c r="N819" s="282">
        <f t="shared" si="157"/>
        <v>176.1</v>
      </c>
      <c r="O819" s="261"/>
      <c r="P819" s="261"/>
      <c r="Q819" s="345">
        <v>2813112800</v>
      </c>
      <c r="R819" s="49" t="s">
        <v>1438</v>
      </c>
      <c r="S819" s="349">
        <v>3.3899999999999997</v>
      </c>
    </row>
    <row r="820" spans="2:19">
      <c r="B820" s="215">
        <v>2812215400</v>
      </c>
      <c r="E820" s="216">
        <f t="shared" si="154"/>
        <v>142.10999999999999</v>
      </c>
      <c r="F820" s="216">
        <v>106.58</v>
      </c>
      <c r="G820" s="222" t="s">
        <v>987</v>
      </c>
      <c r="J820" s="49">
        <f t="shared" si="155"/>
        <v>2812215400</v>
      </c>
      <c r="K820" s="217">
        <f t="shared" si="156"/>
        <v>142.10999999999999</v>
      </c>
      <c r="L820" s="282">
        <v>95.18</v>
      </c>
      <c r="M820" s="282">
        <f t="shared" si="153"/>
        <v>106.58</v>
      </c>
      <c r="N820" s="282">
        <f t="shared" si="157"/>
        <v>106.58249999999998</v>
      </c>
      <c r="O820" s="261"/>
      <c r="P820" s="261"/>
      <c r="Q820" s="345">
        <v>2813120000</v>
      </c>
      <c r="R820" s="49" t="s">
        <v>1439</v>
      </c>
      <c r="S820" s="349">
        <v>91.12</v>
      </c>
    </row>
    <row r="821" spans="2:19">
      <c r="B821" s="215">
        <v>2812221400</v>
      </c>
      <c r="E821" s="216">
        <f t="shared" si="154"/>
        <v>122.82000000000001</v>
      </c>
      <c r="F821" s="216">
        <v>92.12</v>
      </c>
      <c r="G821" s="222" t="s">
        <v>988</v>
      </c>
      <c r="J821" s="49">
        <f t="shared" si="155"/>
        <v>2812221400</v>
      </c>
      <c r="K821" s="217">
        <f t="shared" si="156"/>
        <v>122.82000000000001</v>
      </c>
      <c r="L821" s="282">
        <v>89.57</v>
      </c>
      <c r="M821" s="282">
        <f t="shared" si="153"/>
        <v>92.12</v>
      </c>
      <c r="N821" s="282">
        <f t="shared" si="157"/>
        <v>92.115000000000009</v>
      </c>
      <c r="O821" s="261"/>
      <c r="P821" s="261"/>
      <c r="Q821" s="345">
        <v>2813122200</v>
      </c>
      <c r="R821" s="49" t="s">
        <v>1440</v>
      </c>
      <c r="S821" s="349">
        <v>69.08</v>
      </c>
    </row>
    <row r="822" spans="2:19">
      <c r="B822" s="215">
        <v>2812221800</v>
      </c>
      <c r="E822" s="216">
        <f t="shared" si="154"/>
        <v>115.57000000000001</v>
      </c>
      <c r="F822" s="216">
        <v>86.68</v>
      </c>
      <c r="G822" s="222" t="s">
        <v>989</v>
      </c>
      <c r="J822" s="49">
        <f t="shared" si="155"/>
        <v>2812221800</v>
      </c>
      <c r="K822" s="217">
        <f t="shared" si="156"/>
        <v>115.57000000000001</v>
      </c>
      <c r="L822" s="282">
        <v>86.1</v>
      </c>
      <c r="M822" s="282">
        <f t="shared" si="153"/>
        <v>86.68</v>
      </c>
      <c r="N822" s="282">
        <f t="shared" si="157"/>
        <v>86.677500000000009</v>
      </c>
      <c r="O822" s="261"/>
      <c r="P822" s="261"/>
      <c r="Q822" s="345">
        <v>2813130000</v>
      </c>
      <c r="R822" s="49" t="s">
        <v>1442</v>
      </c>
      <c r="S822" s="349">
        <v>223.17999999999998</v>
      </c>
    </row>
    <row r="823" spans="2:19">
      <c r="B823" s="215">
        <v>2812222000</v>
      </c>
      <c r="E823" s="216">
        <f t="shared" si="154"/>
        <v>111.10000000000001</v>
      </c>
      <c r="F823" s="216">
        <v>83.33</v>
      </c>
      <c r="G823" s="222" t="s">
        <v>990</v>
      </c>
      <c r="J823" s="49">
        <f t="shared" si="155"/>
        <v>2812222000</v>
      </c>
      <c r="K823" s="217">
        <f t="shared" si="156"/>
        <v>111.10000000000001</v>
      </c>
      <c r="L823" s="282">
        <v>226.59</v>
      </c>
      <c r="M823" s="282">
        <f t="shared" si="153"/>
        <v>83.33</v>
      </c>
      <c r="N823" s="282">
        <f t="shared" si="157"/>
        <v>83.325000000000003</v>
      </c>
      <c r="O823" s="261"/>
      <c r="P823" s="261"/>
      <c r="Q823" s="345">
        <v>2813140000</v>
      </c>
      <c r="R823" s="49" t="s">
        <v>1443</v>
      </c>
      <c r="S823" s="349">
        <v>47.35</v>
      </c>
    </row>
    <row r="824" spans="2:19">
      <c r="B824" s="215">
        <v>2812300000</v>
      </c>
      <c r="E824" s="216">
        <f t="shared" si="154"/>
        <v>333.57</v>
      </c>
      <c r="F824" s="216">
        <v>250.18</v>
      </c>
      <c r="G824" s="222" t="s">
        <v>991</v>
      </c>
      <c r="J824" s="49">
        <f t="shared" si="155"/>
        <v>2812300000</v>
      </c>
      <c r="K824" s="217">
        <f t="shared" si="156"/>
        <v>333.57</v>
      </c>
      <c r="L824" s="282">
        <v>59.48</v>
      </c>
      <c r="M824" s="282">
        <f t="shared" si="153"/>
        <v>250.18</v>
      </c>
      <c r="N824" s="282">
        <f t="shared" si="157"/>
        <v>250.17750000000001</v>
      </c>
      <c r="O824" s="261"/>
      <c r="P824" s="261"/>
      <c r="Q824" s="345">
        <v>2813200000</v>
      </c>
      <c r="R824" s="49" t="s">
        <v>1444</v>
      </c>
      <c r="S824" s="349">
        <v>79.260000000000005</v>
      </c>
    </row>
    <row r="825" spans="2:19">
      <c r="B825" s="215">
        <v>2812300200</v>
      </c>
      <c r="E825" s="216">
        <f t="shared" si="154"/>
        <v>76.75</v>
      </c>
      <c r="F825" s="216">
        <v>57.56</v>
      </c>
      <c r="G825" s="222" t="s">
        <v>992</v>
      </c>
      <c r="J825" s="49">
        <f t="shared" si="155"/>
        <v>2812300200</v>
      </c>
      <c r="K825" s="217">
        <f t="shared" si="156"/>
        <v>76.75</v>
      </c>
      <c r="L825" s="282">
        <v>65.010000000000005</v>
      </c>
      <c r="M825" s="282">
        <f t="shared" si="153"/>
        <v>57.56</v>
      </c>
      <c r="N825" s="282">
        <f t="shared" si="157"/>
        <v>57.5625</v>
      </c>
      <c r="O825" s="261"/>
      <c r="P825" s="261"/>
      <c r="Q825" s="345">
        <v>2813200280</v>
      </c>
      <c r="R825" s="49" t="s">
        <v>1445</v>
      </c>
      <c r="S825" s="349">
        <v>8.879999999999999</v>
      </c>
    </row>
    <row r="826" spans="2:19">
      <c r="B826" s="215">
        <v>2812300300</v>
      </c>
      <c r="E826" s="216">
        <f t="shared" si="154"/>
        <v>83.89</v>
      </c>
      <c r="F826" s="216">
        <v>62.92</v>
      </c>
      <c r="G826" s="222" t="s">
        <v>993</v>
      </c>
      <c r="J826" s="49">
        <f t="shared" si="155"/>
        <v>2812300300</v>
      </c>
      <c r="K826" s="217">
        <f t="shared" si="156"/>
        <v>83.89</v>
      </c>
      <c r="L826" s="282">
        <v>62.5</v>
      </c>
      <c r="M826" s="282">
        <f t="shared" si="153"/>
        <v>62.92</v>
      </c>
      <c r="N826" s="282">
        <f t="shared" si="157"/>
        <v>62.917500000000004</v>
      </c>
      <c r="O826" s="261"/>
      <c r="P826" s="261"/>
      <c r="Q826" s="345">
        <v>2813200281</v>
      </c>
      <c r="R826" s="49" t="s">
        <v>1446</v>
      </c>
      <c r="S826" s="349">
        <v>34.75</v>
      </c>
    </row>
    <row r="827" spans="2:19">
      <c r="B827" s="215">
        <v>2812300400</v>
      </c>
      <c r="E827" s="216">
        <f t="shared" si="154"/>
        <v>80.64</v>
      </c>
      <c r="F827" s="216">
        <v>60.48</v>
      </c>
      <c r="G827" s="222" t="s">
        <v>994</v>
      </c>
      <c r="J827" s="49">
        <f t="shared" si="155"/>
        <v>2812300400</v>
      </c>
      <c r="K827" s="217">
        <f t="shared" si="156"/>
        <v>80.64</v>
      </c>
      <c r="L827" s="282">
        <v>87.46</v>
      </c>
      <c r="M827" s="282">
        <f t="shared" si="153"/>
        <v>60.48</v>
      </c>
      <c r="N827" s="282">
        <f t="shared" si="157"/>
        <v>60.480000000000004</v>
      </c>
      <c r="O827" s="261"/>
      <c r="P827" s="261"/>
      <c r="Q827" s="345">
        <v>2813200380</v>
      </c>
      <c r="R827" s="49" t="s">
        <v>1447</v>
      </c>
      <c r="S827" s="349">
        <v>12.32</v>
      </c>
    </row>
    <row r="828" spans="2:19">
      <c r="B828" s="215">
        <v>2812300500</v>
      </c>
      <c r="E828" s="216">
        <f t="shared" si="154"/>
        <v>112.85000000000001</v>
      </c>
      <c r="F828" s="216">
        <v>84.64</v>
      </c>
      <c r="G828" s="222" t="s">
        <v>995</v>
      </c>
      <c r="J828" s="49">
        <f t="shared" si="155"/>
        <v>2812300500</v>
      </c>
      <c r="K828" s="217">
        <f t="shared" si="156"/>
        <v>112.85000000000001</v>
      </c>
      <c r="L828" s="282">
        <v>57.18</v>
      </c>
      <c r="M828" s="282">
        <f t="shared" si="153"/>
        <v>84.64</v>
      </c>
      <c r="N828" s="282">
        <f t="shared" si="157"/>
        <v>84.637500000000003</v>
      </c>
      <c r="O828" s="261"/>
      <c r="P828" s="261"/>
      <c r="Q828" s="345">
        <v>2813200381</v>
      </c>
      <c r="R828" s="49" t="s">
        <v>1448</v>
      </c>
      <c r="S828" s="349">
        <v>14.28</v>
      </c>
    </row>
    <row r="829" spans="2:19">
      <c r="B829" s="215">
        <v>2812300600</v>
      </c>
      <c r="E829" s="216">
        <f t="shared" si="154"/>
        <v>73.78</v>
      </c>
      <c r="F829" s="216">
        <v>55.34</v>
      </c>
      <c r="G829" s="222" t="s">
        <v>996</v>
      </c>
      <c r="J829" s="49">
        <f t="shared" si="155"/>
        <v>2812300600</v>
      </c>
      <c r="K829" s="217">
        <f t="shared" si="156"/>
        <v>73.78</v>
      </c>
      <c r="L829" s="282">
        <v>104.39</v>
      </c>
      <c r="M829" s="282">
        <f t="shared" si="153"/>
        <v>55.34</v>
      </c>
      <c r="N829" s="282">
        <f t="shared" si="157"/>
        <v>55.335000000000001</v>
      </c>
      <c r="O829" s="261"/>
      <c r="P829" s="261"/>
      <c r="Q829" s="345">
        <v>2813200480</v>
      </c>
      <c r="R829" s="49" t="s">
        <v>1449</v>
      </c>
      <c r="S829" s="349">
        <v>9.24</v>
      </c>
    </row>
    <row r="830" spans="2:19">
      <c r="B830" s="215">
        <v>2812302220</v>
      </c>
      <c r="E830" s="216">
        <f t="shared" si="154"/>
        <v>134.70999999999998</v>
      </c>
      <c r="F830" s="216">
        <v>101.03</v>
      </c>
      <c r="G830" s="222" t="s">
        <v>997</v>
      </c>
      <c r="J830" s="49">
        <f t="shared" si="155"/>
        <v>2812302220</v>
      </c>
      <c r="K830" s="217">
        <f t="shared" si="156"/>
        <v>134.70999999999998</v>
      </c>
      <c r="L830" s="282">
        <v>140.94999999999999</v>
      </c>
      <c r="M830" s="282">
        <f t="shared" si="153"/>
        <v>101.03</v>
      </c>
      <c r="N830" s="282">
        <f t="shared" si="157"/>
        <v>101.03249999999998</v>
      </c>
      <c r="O830" s="261"/>
      <c r="P830" s="261"/>
      <c r="Q830" s="345">
        <v>2813200580</v>
      </c>
      <c r="R830" s="49" t="s">
        <v>1450</v>
      </c>
      <c r="S830" s="349">
        <v>19.260000000000002</v>
      </c>
    </row>
    <row r="831" spans="2:19">
      <c r="B831" s="215">
        <v>2812302800</v>
      </c>
      <c r="E831" s="216">
        <f t="shared" si="154"/>
        <v>250.35</v>
      </c>
      <c r="F831" s="216">
        <v>187.76</v>
      </c>
      <c r="G831" s="222" t="s">
        <v>998</v>
      </c>
      <c r="J831" s="49">
        <f t="shared" si="155"/>
        <v>2812302800</v>
      </c>
      <c r="K831" s="217">
        <f t="shared" si="156"/>
        <v>250.35</v>
      </c>
      <c r="L831" s="282">
        <v>286.06</v>
      </c>
      <c r="M831" s="282">
        <f t="shared" si="153"/>
        <v>187.76</v>
      </c>
      <c r="N831" s="282">
        <f t="shared" si="157"/>
        <v>187.76249999999999</v>
      </c>
      <c r="O831" s="261"/>
      <c r="P831" s="261"/>
      <c r="Q831" s="345">
        <v>2813200680</v>
      </c>
      <c r="R831" s="49" t="s">
        <v>1451</v>
      </c>
      <c r="S831" s="349">
        <v>16.34</v>
      </c>
    </row>
    <row r="832" spans="2:19">
      <c r="B832" s="215">
        <v>2812305100</v>
      </c>
      <c r="E832" s="216">
        <f t="shared" si="154"/>
        <v>369.09</v>
      </c>
      <c r="F832" s="216">
        <v>276.82</v>
      </c>
      <c r="G832" s="222" t="s">
        <v>999</v>
      </c>
      <c r="J832" s="49">
        <f t="shared" si="155"/>
        <v>2812305100</v>
      </c>
      <c r="K832" s="217">
        <f t="shared" si="156"/>
        <v>369.09</v>
      </c>
      <c r="L832" s="282">
        <v>341.78</v>
      </c>
      <c r="M832" s="282">
        <f t="shared" si="153"/>
        <v>276.82</v>
      </c>
      <c r="N832" s="282">
        <f t="shared" si="157"/>
        <v>276.8175</v>
      </c>
      <c r="O832" s="261"/>
      <c r="P832" s="261"/>
      <c r="Q832" s="345">
        <v>2813201300</v>
      </c>
      <c r="R832" s="49" t="s">
        <v>1452</v>
      </c>
      <c r="S832" s="349">
        <v>12.84</v>
      </c>
    </row>
    <row r="833" spans="2:19">
      <c r="B833" s="215">
        <v>2812305500</v>
      </c>
      <c r="E833" s="216">
        <f t="shared" si="154"/>
        <v>440.99</v>
      </c>
      <c r="F833" s="216">
        <v>330.74</v>
      </c>
      <c r="G833" s="222" t="s">
        <v>1000</v>
      </c>
      <c r="J833" s="49">
        <f t="shared" si="155"/>
        <v>2812305500</v>
      </c>
      <c r="K833" s="217">
        <f t="shared" si="156"/>
        <v>440.99</v>
      </c>
      <c r="L833" s="282">
        <v>67.760000000000005</v>
      </c>
      <c r="M833" s="282">
        <f t="shared" si="153"/>
        <v>330.74</v>
      </c>
      <c r="N833" s="282">
        <f t="shared" si="157"/>
        <v>330.74250000000001</v>
      </c>
      <c r="O833" s="261"/>
      <c r="P833" s="261"/>
      <c r="Q833" s="345">
        <v>2813201780</v>
      </c>
      <c r="R833" s="49" t="s">
        <v>1453</v>
      </c>
      <c r="S833" s="349">
        <v>15.03</v>
      </c>
    </row>
    <row r="834" spans="2:19">
      <c r="B834" s="215">
        <v>2812306520</v>
      </c>
      <c r="E834" s="216">
        <f t="shared" si="154"/>
        <v>87.43</v>
      </c>
      <c r="F834" s="216">
        <v>65.569999999999993</v>
      </c>
      <c r="G834" s="222" t="s">
        <v>1001</v>
      </c>
      <c r="J834" s="49">
        <f t="shared" si="155"/>
        <v>2812306520</v>
      </c>
      <c r="K834" s="217">
        <f t="shared" si="156"/>
        <v>87.43</v>
      </c>
      <c r="L834" s="282">
        <v>114.37</v>
      </c>
      <c r="M834" s="282">
        <f t="shared" si="153"/>
        <v>65.569999999999993</v>
      </c>
      <c r="N834" s="282">
        <f t="shared" si="157"/>
        <v>65.572500000000005</v>
      </c>
      <c r="O834" s="261"/>
      <c r="P834" s="261"/>
      <c r="Q834" s="345">
        <v>2813201980</v>
      </c>
      <c r="R834" s="49" t="s">
        <v>1454</v>
      </c>
      <c r="S834" s="349">
        <v>16.990000000000002</v>
      </c>
    </row>
    <row r="835" spans="2:19">
      <c r="B835" s="215">
        <v>2812310900</v>
      </c>
      <c r="E835" s="216">
        <f t="shared" si="154"/>
        <v>147.54999999999998</v>
      </c>
      <c r="F835" s="216">
        <v>110.66</v>
      </c>
      <c r="G835" s="222" t="s">
        <v>1002</v>
      </c>
      <c r="J835" s="49">
        <f t="shared" si="155"/>
        <v>2812310900</v>
      </c>
      <c r="K835" s="217">
        <f t="shared" si="156"/>
        <v>147.54999999999998</v>
      </c>
      <c r="L835" s="282">
        <v>171.04</v>
      </c>
      <c r="M835" s="282">
        <f t="shared" si="153"/>
        <v>110.66</v>
      </c>
      <c r="N835" s="282">
        <f t="shared" si="157"/>
        <v>110.66249999999999</v>
      </c>
      <c r="O835" s="261"/>
      <c r="P835" s="261"/>
      <c r="Q835" s="345">
        <v>2813202200</v>
      </c>
      <c r="R835" s="49" t="s">
        <v>1455</v>
      </c>
      <c r="S835" s="349">
        <v>11.66</v>
      </c>
    </row>
    <row r="836" spans="2:19">
      <c r="B836" s="215">
        <v>2812312220</v>
      </c>
      <c r="E836" s="216">
        <f t="shared" si="154"/>
        <v>245.73</v>
      </c>
      <c r="F836" s="216">
        <v>184.3</v>
      </c>
      <c r="G836" s="222" t="s">
        <v>1003</v>
      </c>
      <c r="J836" s="49">
        <f t="shared" si="155"/>
        <v>2812312220</v>
      </c>
      <c r="K836" s="217">
        <f t="shared" si="156"/>
        <v>245.73</v>
      </c>
      <c r="L836" s="282">
        <v>158.63999999999999</v>
      </c>
      <c r="M836" s="282">
        <f t="shared" si="153"/>
        <v>184.3</v>
      </c>
      <c r="N836" s="282">
        <f t="shared" si="157"/>
        <v>184.29749999999999</v>
      </c>
      <c r="O836" s="261"/>
      <c r="P836" s="261"/>
      <c r="Q836" s="345">
        <v>2813202800</v>
      </c>
      <c r="R836" s="49" t="s">
        <v>1456</v>
      </c>
      <c r="S836" s="349">
        <v>14.94</v>
      </c>
    </row>
    <row r="837" spans="2:19">
      <c r="B837" s="215">
        <v>2812315400</v>
      </c>
      <c r="E837" s="216">
        <f t="shared" si="154"/>
        <v>204.70999999999998</v>
      </c>
      <c r="F837" s="216">
        <v>153.53</v>
      </c>
      <c r="G837" s="222" t="s">
        <v>1004</v>
      </c>
      <c r="J837" s="49">
        <f t="shared" si="155"/>
        <v>2812315400</v>
      </c>
      <c r="K837" s="217">
        <f t="shared" si="156"/>
        <v>204.70999999999998</v>
      </c>
      <c r="L837" s="282">
        <v>130</v>
      </c>
      <c r="M837" s="282">
        <f t="shared" si="153"/>
        <v>153.53</v>
      </c>
      <c r="N837" s="282">
        <f t="shared" si="157"/>
        <v>153.53249999999997</v>
      </c>
      <c r="O837" s="261"/>
      <c r="P837" s="261"/>
      <c r="Q837" s="345">
        <v>2813205180</v>
      </c>
      <c r="R837" s="49" t="s">
        <v>1457</v>
      </c>
      <c r="S837" s="349">
        <v>100.10000000000001</v>
      </c>
    </row>
    <row r="838" spans="2:19">
      <c r="B838" s="215">
        <v>2812320700</v>
      </c>
      <c r="E838" s="216">
        <f t="shared" si="154"/>
        <v>167.72</v>
      </c>
      <c r="F838" s="216">
        <v>125.79</v>
      </c>
      <c r="G838" s="222" t="s">
        <v>1005</v>
      </c>
      <c r="J838" s="49">
        <f t="shared" si="155"/>
        <v>2812320700</v>
      </c>
      <c r="K838" s="217">
        <f t="shared" si="156"/>
        <v>167.72</v>
      </c>
      <c r="L838" s="282">
        <v>111.96</v>
      </c>
      <c r="M838" s="282">
        <f t="shared" si="153"/>
        <v>125.79</v>
      </c>
      <c r="N838" s="282">
        <f t="shared" si="157"/>
        <v>125.78999999999999</v>
      </c>
      <c r="O838" s="261"/>
      <c r="P838" s="261"/>
      <c r="Q838" s="345">
        <v>2813210000</v>
      </c>
      <c r="R838" s="49" t="s">
        <v>1458</v>
      </c>
      <c r="S838" s="349">
        <v>326.86</v>
      </c>
    </row>
    <row r="839" spans="2:19">
      <c r="B839" s="215">
        <v>2812321800</v>
      </c>
      <c r="E839" s="216">
        <f t="shared" si="154"/>
        <v>144.47</v>
      </c>
      <c r="F839" s="216">
        <v>108.35</v>
      </c>
      <c r="G839" s="222" t="s">
        <v>1006</v>
      </c>
      <c r="J839" s="49">
        <f t="shared" si="155"/>
        <v>2812321800</v>
      </c>
      <c r="K839" s="217">
        <f t="shared" si="156"/>
        <v>144.47</v>
      </c>
      <c r="L839" s="282">
        <v>22.31</v>
      </c>
      <c r="M839" s="282">
        <f t="shared" si="153"/>
        <v>108.35</v>
      </c>
      <c r="N839" s="282">
        <f t="shared" si="157"/>
        <v>108.35249999999999</v>
      </c>
      <c r="O839" s="261"/>
      <c r="P839" s="261"/>
      <c r="Q839" s="345">
        <v>2813211300</v>
      </c>
      <c r="R839" s="49" t="s">
        <v>1459</v>
      </c>
      <c r="S839" s="349">
        <v>13.57</v>
      </c>
    </row>
    <row r="840" spans="2:19">
      <c r="B840" s="215">
        <v>2812322100</v>
      </c>
      <c r="E840" s="216">
        <f t="shared" si="154"/>
        <v>28.8</v>
      </c>
      <c r="F840" s="216">
        <v>21.6</v>
      </c>
      <c r="G840" s="222" t="s">
        <v>1007</v>
      </c>
      <c r="J840" s="49">
        <f t="shared" si="155"/>
        <v>2812322100</v>
      </c>
      <c r="K840" s="217">
        <f t="shared" si="156"/>
        <v>28.8</v>
      </c>
      <c r="L840" s="282">
        <v>114.37</v>
      </c>
      <c r="M840" s="282">
        <f t="shared" si="153"/>
        <v>21.6</v>
      </c>
      <c r="N840" s="282">
        <f t="shared" si="157"/>
        <v>21.6</v>
      </c>
      <c r="O840" s="261"/>
      <c r="P840" s="261"/>
      <c r="Q840" s="345">
        <v>2813211780</v>
      </c>
      <c r="R840" s="49" t="s">
        <v>1460</v>
      </c>
      <c r="S840" s="349">
        <v>15.03</v>
      </c>
    </row>
    <row r="841" spans="2:19">
      <c r="B841" s="215">
        <v>2812331400</v>
      </c>
      <c r="E841" s="216">
        <f t="shared" si="154"/>
        <v>147.54999999999998</v>
      </c>
      <c r="F841" s="216">
        <v>110.66</v>
      </c>
      <c r="G841" s="222" t="s">
        <v>1008</v>
      </c>
      <c r="J841" s="49">
        <f t="shared" si="155"/>
        <v>2812331400</v>
      </c>
      <c r="K841" s="217">
        <f t="shared" si="156"/>
        <v>147.54999999999998</v>
      </c>
      <c r="L841" s="282">
        <v>107.64</v>
      </c>
      <c r="M841" s="282">
        <f t="shared" si="153"/>
        <v>110.66</v>
      </c>
      <c r="N841" s="282">
        <f t="shared" si="157"/>
        <v>110.66249999999999</v>
      </c>
      <c r="O841" s="261"/>
      <c r="P841" s="261"/>
      <c r="Q841" s="345">
        <v>2813211980</v>
      </c>
      <c r="R841" s="49" t="s">
        <v>1461</v>
      </c>
      <c r="S841" s="349">
        <v>18.66</v>
      </c>
    </row>
    <row r="842" spans="2:19">
      <c r="B842" s="215">
        <v>2812331800</v>
      </c>
      <c r="E842" s="216">
        <f t="shared" si="154"/>
        <v>138.88999999999999</v>
      </c>
      <c r="F842" s="216">
        <v>104.17</v>
      </c>
      <c r="G842" s="222" t="s">
        <v>1009</v>
      </c>
      <c r="J842" s="49">
        <f t="shared" si="155"/>
        <v>2812331800</v>
      </c>
      <c r="K842" s="217">
        <f t="shared" si="156"/>
        <v>138.88999999999999</v>
      </c>
      <c r="L842" s="282">
        <v>107.64</v>
      </c>
      <c r="M842" s="282">
        <f t="shared" si="153"/>
        <v>104.17</v>
      </c>
      <c r="N842" s="282">
        <f t="shared" si="157"/>
        <v>104.16749999999999</v>
      </c>
      <c r="O842" s="261"/>
      <c r="P842" s="261"/>
      <c r="Q842" s="345">
        <v>2813220000</v>
      </c>
      <c r="R842" s="49" t="s">
        <v>1462</v>
      </c>
      <c r="S842" s="349">
        <v>133.38999999999999</v>
      </c>
    </row>
    <row r="843" spans="2:19">
      <c r="B843" s="215">
        <v>2812332000</v>
      </c>
      <c r="E843" s="216">
        <f t="shared" si="154"/>
        <v>138.88999999999999</v>
      </c>
      <c r="F843" s="216">
        <v>104.17</v>
      </c>
      <c r="G843" s="222" t="s">
        <v>1010</v>
      </c>
      <c r="J843" s="49">
        <f t="shared" si="155"/>
        <v>2812332000</v>
      </c>
      <c r="K843" s="217">
        <f t="shared" si="156"/>
        <v>138.88999999999999</v>
      </c>
      <c r="L843" s="282">
        <v>225.43</v>
      </c>
      <c r="M843" s="282">
        <f t="shared" si="153"/>
        <v>104.17</v>
      </c>
      <c r="N843" s="282">
        <f t="shared" si="157"/>
        <v>104.16749999999999</v>
      </c>
      <c r="O843" s="261"/>
      <c r="P843" s="261"/>
      <c r="Q843" s="345">
        <v>2813222800</v>
      </c>
      <c r="R843" s="49" t="s">
        <v>1463</v>
      </c>
      <c r="S843" s="349">
        <v>7.77</v>
      </c>
    </row>
    <row r="844" spans="2:19">
      <c r="B844" s="215">
        <v>2812400000</v>
      </c>
      <c r="E844" s="216">
        <f t="shared" si="154"/>
        <v>263.58</v>
      </c>
      <c r="F844" s="216">
        <v>197.69</v>
      </c>
      <c r="G844" s="222" t="s">
        <v>1011</v>
      </c>
      <c r="J844" s="49">
        <f t="shared" si="155"/>
        <v>2812400000</v>
      </c>
      <c r="K844" s="217">
        <f t="shared" si="156"/>
        <v>263.58</v>
      </c>
      <c r="L844" s="282">
        <v>222.97</v>
      </c>
      <c r="M844" s="282">
        <f t="shared" si="153"/>
        <v>197.69</v>
      </c>
      <c r="N844" s="282">
        <f t="shared" si="157"/>
        <v>197.685</v>
      </c>
      <c r="O844" s="261"/>
      <c r="P844" s="261"/>
      <c r="Q844" s="345">
        <v>2813230000</v>
      </c>
      <c r="R844" s="49" t="s">
        <v>1464</v>
      </c>
      <c r="S844" s="349">
        <v>291.83999999999997</v>
      </c>
    </row>
    <row r="845" spans="2:19">
      <c r="B845" s="215">
        <v>2812400100</v>
      </c>
      <c r="E845" s="216">
        <f t="shared" si="154"/>
        <v>302.73</v>
      </c>
      <c r="F845" s="216">
        <v>227.05</v>
      </c>
      <c r="G845" s="222" t="s">
        <v>1012</v>
      </c>
      <c r="J845" s="49">
        <f t="shared" si="155"/>
        <v>2812400100</v>
      </c>
      <c r="K845" s="217">
        <f t="shared" si="156"/>
        <v>302.73</v>
      </c>
      <c r="L845" s="282">
        <v>71.38</v>
      </c>
      <c r="M845" s="282">
        <f t="shared" si="153"/>
        <v>227.05</v>
      </c>
      <c r="N845" s="282">
        <f t="shared" si="157"/>
        <v>227.04750000000001</v>
      </c>
      <c r="O845" s="261"/>
      <c r="P845" s="261"/>
      <c r="Q845" s="345">
        <v>2813240000</v>
      </c>
      <c r="R845" s="49" t="s">
        <v>1465</v>
      </c>
      <c r="S845" s="349">
        <v>49.839999999999996</v>
      </c>
    </row>
    <row r="846" spans="2:19">
      <c r="B846" s="215">
        <v>2812400200</v>
      </c>
      <c r="E846" s="216">
        <f t="shared" si="154"/>
        <v>92.12</v>
      </c>
      <c r="F846" s="216">
        <v>69.09</v>
      </c>
      <c r="G846" s="222" t="s">
        <v>1013</v>
      </c>
      <c r="J846" s="49">
        <f t="shared" si="155"/>
        <v>2812400200</v>
      </c>
      <c r="K846" s="217">
        <f t="shared" si="156"/>
        <v>92.12</v>
      </c>
      <c r="L846" s="282">
        <v>78.02</v>
      </c>
      <c r="M846" s="282">
        <f t="shared" si="153"/>
        <v>69.09</v>
      </c>
      <c r="N846" s="282">
        <f t="shared" si="157"/>
        <v>69.09</v>
      </c>
      <c r="O846" s="261"/>
      <c r="P846" s="261"/>
      <c r="Q846" s="345">
        <v>2813300000</v>
      </c>
      <c r="R846" s="49" t="s">
        <v>1466</v>
      </c>
      <c r="S846" s="349">
        <v>106.76</v>
      </c>
    </row>
    <row r="847" spans="2:19">
      <c r="B847" s="215">
        <v>2812400300</v>
      </c>
      <c r="E847" s="216">
        <f t="shared" si="154"/>
        <v>100.68</v>
      </c>
      <c r="F847" s="216">
        <v>75.510000000000005</v>
      </c>
      <c r="G847" s="222" t="s">
        <v>1014</v>
      </c>
      <c r="J847" s="49">
        <f t="shared" si="155"/>
        <v>2812400300</v>
      </c>
      <c r="K847" s="217">
        <f t="shared" si="156"/>
        <v>100.68</v>
      </c>
      <c r="L847" s="282">
        <v>74.989999999999995</v>
      </c>
      <c r="M847" s="282">
        <f t="shared" si="153"/>
        <v>75.510000000000005</v>
      </c>
      <c r="N847" s="282">
        <f t="shared" si="157"/>
        <v>75.510000000000005</v>
      </c>
      <c r="O847" s="261"/>
      <c r="P847" s="261"/>
      <c r="Q847" s="345">
        <v>2813300280</v>
      </c>
      <c r="R847" s="49" t="s">
        <v>1467</v>
      </c>
      <c r="S847" s="349">
        <v>10.59</v>
      </c>
    </row>
    <row r="848" spans="2:19">
      <c r="B848" s="215">
        <v>2812400400</v>
      </c>
      <c r="E848" s="216">
        <f t="shared" si="154"/>
        <v>96.77000000000001</v>
      </c>
      <c r="F848" s="216">
        <v>72.58</v>
      </c>
      <c r="G848" s="222" t="s">
        <v>1015</v>
      </c>
      <c r="J848" s="49">
        <f t="shared" si="155"/>
        <v>2812400400</v>
      </c>
      <c r="K848" s="217">
        <f t="shared" si="156"/>
        <v>96.77000000000001</v>
      </c>
      <c r="L848" s="282">
        <v>104.96</v>
      </c>
      <c r="M848" s="282">
        <f t="shared" si="153"/>
        <v>72.58</v>
      </c>
      <c r="N848" s="282">
        <f t="shared" si="157"/>
        <v>72.577500000000015</v>
      </c>
      <c r="O848" s="261"/>
      <c r="P848" s="261"/>
      <c r="Q848" s="345">
        <v>2813300281</v>
      </c>
      <c r="R848" s="49" t="s">
        <v>1468</v>
      </c>
      <c r="S848" s="349">
        <v>36.94</v>
      </c>
    </row>
    <row r="849" spans="2:19">
      <c r="B849" s="215">
        <v>2812400500</v>
      </c>
      <c r="E849" s="216">
        <f t="shared" si="154"/>
        <v>135.42999999999998</v>
      </c>
      <c r="F849" s="216">
        <v>101.57</v>
      </c>
      <c r="G849" s="222" t="s">
        <v>1016</v>
      </c>
      <c r="J849" s="49">
        <f t="shared" si="155"/>
        <v>2812400500</v>
      </c>
      <c r="K849" s="217">
        <f t="shared" si="156"/>
        <v>135.42999999999998</v>
      </c>
      <c r="L849" s="282">
        <v>71.38</v>
      </c>
      <c r="M849" s="282">
        <f t="shared" si="153"/>
        <v>101.57</v>
      </c>
      <c r="N849" s="282">
        <f t="shared" si="157"/>
        <v>101.57249999999999</v>
      </c>
      <c r="O849" s="261"/>
      <c r="P849" s="261"/>
      <c r="Q849" s="345">
        <v>2813300380</v>
      </c>
      <c r="R849" s="49" t="s">
        <v>1469</v>
      </c>
      <c r="S849" s="349">
        <v>14.4</v>
      </c>
    </row>
    <row r="850" spans="2:19">
      <c r="B850" s="215">
        <v>2812400600</v>
      </c>
      <c r="E850" s="216">
        <f t="shared" si="154"/>
        <v>92.12</v>
      </c>
      <c r="F850" s="216">
        <v>69.09</v>
      </c>
      <c r="G850" s="222" t="s">
        <v>1017</v>
      </c>
      <c r="J850" s="49">
        <f t="shared" ref="J850:J881" si="158">B850*$K$13</f>
        <v>2812400600</v>
      </c>
      <c r="K850" s="217">
        <f t="shared" ref="K850:K881" si="159">VLOOKUP(J850,$Q$14:$S$1164,3,FALSE)</f>
        <v>92.12</v>
      </c>
      <c r="L850" s="282">
        <v>68.62</v>
      </c>
      <c r="M850" s="282">
        <f t="shared" si="153"/>
        <v>69.09</v>
      </c>
      <c r="N850" s="282">
        <f t="shared" ref="N850:N881" si="160">K850*$N$13</f>
        <v>69.09</v>
      </c>
      <c r="O850" s="261"/>
      <c r="P850" s="261"/>
      <c r="Q850" s="345">
        <v>2813300480</v>
      </c>
      <c r="R850" s="49" t="s">
        <v>1470</v>
      </c>
      <c r="S850" s="349">
        <v>10.97</v>
      </c>
    </row>
    <row r="851" spans="2:19">
      <c r="B851" s="215">
        <v>2812402220</v>
      </c>
      <c r="E851" s="216">
        <f t="shared" si="154"/>
        <v>88.54</v>
      </c>
      <c r="F851" s="216">
        <v>66.41</v>
      </c>
      <c r="G851" s="222" t="s">
        <v>1018</v>
      </c>
      <c r="J851" s="49">
        <f t="shared" si="158"/>
        <v>2812402220</v>
      </c>
      <c r="K851" s="217">
        <f t="shared" si="159"/>
        <v>88.54</v>
      </c>
      <c r="L851" s="282">
        <v>708.97</v>
      </c>
      <c r="M851" s="282">
        <f t="shared" si="153"/>
        <v>66.41</v>
      </c>
      <c r="N851" s="282">
        <f t="shared" si="160"/>
        <v>66.405000000000001</v>
      </c>
      <c r="O851" s="261"/>
      <c r="P851" s="261"/>
      <c r="Q851" s="345">
        <v>2813300580</v>
      </c>
      <c r="R851" s="49" t="s">
        <v>1471</v>
      </c>
      <c r="S851" s="349">
        <v>19.59</v>
      </c>
    </row>
    <row r="852" spans="2:19">
      <c r="B852" s="215">
        <v>2812402800</v>
      </c>
      <c r="E852" s="216">
        <f t="shared" si="154"/>
        <v>1685.99</v>
      </c>
      <c r="F852" s="216">
        <v>1264.49</v>
      </c>
      <c r="G852" s="222" t="s">
        <v>1019</v>
      </c>
      <c r="J852" s="49">
        <f t="shared" si="158"/>
        <v>2812402800</v>
      </c>
      <c r="K852" s="217">
        <f t="shared" si="159"/>
        <v>1685.99</v>
      </c>
      <c r="L852" s="282">
        <v>378.58</v>
      </c>
      <c r="M852" s="282">
        <f t="shared" si="153"/>
        <v>1264.49</v>
      </c>
      <c r="N852" s="282">
        <f t="shared" si="160"/>
        <v>1264.4925000000001</v>
      </c>
      <c r="O852" s="261"/>
      <c r="P852" s="261"/>
      <c r="Q852" s="345">
        <v>2813300680</v>
      </c>
      <c r="R852" s="49" t="s">
        <v>1472</v>
      </c>
      <c r="S852" s="349">
        <v>24.16</v>
      </c>
    </row>
    <row r="853" spans="2:19">
      <c r="B853" s="215">
        <v>2812405100</v>
      </c>
      <c r="E853" s="216">
        <f t="shared" si="154"/>
        <v>488.46</v>
      </c>
      <c r="F853" s="216">
        <v>366.35</v>
      </c>
      <c r="G853" s="222" t="s">
        <v>1020</v>
      </c>
      <c r="J853" s="49">
        <f t="shared" si="158"/>
        <v>2812405100</v>
      </c>
      <c r="K853" s="217">
        <f t="shared" si="159"/>
        <v>488.46</v>
      </c>
      <c r="L853" s="282">
        <v>407.22</v>
      </c>
      <c r="M853" s="282">
        <f t="shared" si="153"/>
        <v>366.35</v>
      </c>
      <c r="N853" s="282">
        <f t="shared" si="160"/>
        <v>366.34499999999997</v>
      </c>
      <c r="O853" s="261"/>
      <c r="P853" s="261"/>
      <c r="Q853" s="345">
        <v>2813301300</v>
      </c>
      <c r="R853" s="49" t="s">
        <v>1473</v>
      </c>
      <c r="S853" s="349">
        <v>19.84</v>
      </c>
    </row>
    <row r="854" spans="2:19">
      <c r="B854" s="215">
        <v>2812405500</v>
      </c>
      <c r="E854" s="216">
        <f t="shared" si="154"/>
        <v>525.42999999999995</v>
      </c>
      <c r="F854" s="216">
        <v>394.07</v>
      </c>
      <c r="G854" s="222" t="s">
        <v>1021</v>
      </c>
      <c r="J854" s="49">
        <f t="shared" si="158"/>
        <v>2812405500</v>
      </c>
      <c r="K854" s="217">
        <f t="shared" si="159"/>
        <v>525.42999999999995</v>
      </c>
      <c r="L854" s="282">
        <v>97.4</v>
      </c>
      <c r="M854" s="282">
        <f t="shared" si="153"/>
        <v>394.07</v>
      </c>
      <c r="N854" s="282">
        <f t="shared" si="160"/>
        <v>394.07249999999999</v>
      </c>
      <c r="O854" s="261"/>
      <c r="P854" s="261"/>
      <c r="Q854" s="345">
        <v>2813301780</v>
      </c>
      <c r="R854" s="49" t="s">
        <v>1474</v>
      </c>
      <c r="S854" s="349">
        <v>16.760000000000002</v>
      </c>
    </row>
    <row r="855" spans="2:19">
      <c r="B855" s="215">
        <v>2812406520</v>
      </c>
      <c r="E855" s="216">
        <f t="shared" si="154"/>
        <v>125.7</v>
      </c>
      <c r="F855" s="216">
        <v>94.28</v>
      </c>
      <c r="G855" s="222" t="s">
        <v>1022</v>
      </c>
      <c r="J855" s="49">
        <f t="shared" si="158"/>
        <v>2812406520</v>
      </c>
      <c r="K855" s="217">
        <f t="shared" si="159"/>
        <v>125.7</v>
      </c>
      <c r="L855" s="282">
        <v>142.72999999999999</v>
      </c>
      <c r="M855" s="282">
        <f t="shared" si="153"/>
        <v>94.28</v>
      </c>
      <c r="N855" s="282">
        <f t="shared" si="160"/>
        <v>94.275000000000006</v>
      </c>
      <c r="O855" s="261"/>
      <c r="P855" s="261"/>
      <c r="Q855" s="345">
        <v>2813301980</v>
      </c>
      <c r="R855" s="49" t="s">
        <v>1475</v>
      </c>
      <c r="S855" s="349">
        <v>24.040000000000003</v>
      </c>
    </row>
    <row r="856" spans="2:19">
      <c r="B856" s="215">
        <v>2812410900</v>
      </c>
      <c r="E856" s="216">
        <f t="shared" si="154"/>
        <v>184.14999999999998</v>
      </c>
      <c r="F856" s="216">
        <v>138.11000000000001</v>
      </c>
      <c r="G856" s="222" t="s">
        <v>1023</v>
      </c>
      <c r="J856" s="49">
        <f t="shared" si="158"/>
        <v>2812410900</v>
      </c>
      <c r="K856" s="217">
        <f t="shared" si="159"/>
        <v>184.14999999999998</v>
      </c>
      <c r="L856" s="282">
        <v>178.86</v>
      </c>
      <c r="M856" s="282">
        <f t="shared" si="153"/>
        <v>138.11000000000001</v>
      </c>
      <c r="N856" s="282">
        <f t="shared" si="160"/>
        <v>138.11249999999998</v>
      </c>
      <c r="O856" s="261"/>
      <c r="P856" s="261"/>
      <c r="Q856" s="345">
        <v>2813302200</v>
      </c>
      <c r="R856" s="49" t="s">
        <v>1476</v>
      </c>
      <c r="S856" s="349">
        <v>15.99</v>
      </c>
    </row>
    <row r="857" spans="2:19">
      <c r="B857" s="215">
        <v>2812412220</v>
      </c>
      <c r="E857" s="216">
        <f t="shared" si="154"/>
        <v>256.96999999999997</v>
      </c>
      <c r="F857" s="216">
        <v>192.73</v>
      </c>
      <c r="G857" s="222" t="s">
        <v>1024</v>
      </c>
      <c r="J857" s="49">
        <f t="shared" si="158"/>
        <v>2812412220</v>
      </c>
      <c r="K857" s="217">
        <f t="shared" si="159"/>
        <v>256.96999999999997</v>
      </c>
      <c r="L857" s="282">
        <v>203.91</v>
      </c>
      <c r="M857" s="282">
        <f t="shared" si="153"/>
        <v>192.73</v>
      </c>
      <c r="N857" s="282">
        <f t="shared" si="160"/>
        <v>192.72749999999996</v>
      </c>
      <c r="O857" s="261"/>
      <c r="P857" s="261"/>
      <c r="Q857" s="345">
        <v>2813302800</v>
      </c>
      <c r="R857" s="49" t="s">
        <v>1477</v>
      </c>
      <c r="S857" s="349">
        <v>14.94</v>
      </c>
    </row>
    <row r="858" spans="2:19">
      <c r="B858" s="215">
        <v>2812415400</v>
      </c>
      <c r="E858" s="216">
        <f t="shared" si="154"/>
        <v>263.12</v>
      </c>
      <c r="F858" s="216">
        <v>197.34</v>
      </c>
      <c r="G858" s="222" t="s">
        <v>1025</v>
      </c>
      <c r="J858" s="49">
        <f t="shared" si="158"/>
        <v>2812415400</v>
      </c>
      <c r="K858" s="217">
        <f t="shared" si="159"/>
        <v>263.12</v>
      </c>
      <c r="L858" s="282">
        <v>149.97</v>
      </c>
      <c r="M858" s="282">
        <f t="shared" si="153"/>
        <v>197.34</v>
      </c>
      <c r="N858" s="282">
        <f t="shared" si="160"/>
        <v>197.34</v>
      </c>
      <c r="O858" s="261"/>
      <c r="P858" s="261"/>
      <c r="Q858" s="345">
        <v>2813305180</v>
      </c>
      <c r="R858" s="49" t="s">
        <v>1478</v>
      </c>
      <c r="S858" s="349">
        <v>103.9</v>
      </c>
    </row>
    <row r="859" spans="2:19">
      <c r="B859" s="215">
        <v>2812430700</v>
      </c>
      <c r="E859" s="216">
        <f t="shared" si="154"/>
        <v>193.48999999999998</v>
      </c>
      <c r="F859" s="216">
        <v>145.12</v>
      </c>
      <c r="G859" s="222" t="s">
        <v>1026</v>
      </c>
      <c r="J859" s="49">
        <f t="shared" si="158"/>
        <v>2812430700</v>
      </c>
      <c r="K859" s="217">
        <f t="shared" si="159"/>
        <v>193.48999999999998</v>
      </c>
      <c r="L859" s="282">
        <v>129.16</v>
      </c>
      <c r="M859" s="282">
        <f t="shared" si="153"/>
        <v>145.12</v>
      </c>
      <c r="N859" s="282">
        <f t="shared" si="160"/>
        <v>145.11749999999998</v>
      </c>
      <c r="O859" s="261"/>
      <c r="P859" s="261"/>
      <c r="Q859" s="345">
        <v>2813310000</v>
      </c>
      <c r="R859" s="49" t="s">
        <v>1479</v>
      </c>
      <c r="S859" s="349">
        <v>443.09999999999997</v>
      </c>
    </row>
    <row r="860" spans="2:19">
      <c r="B860" s="215">
        <v>2812431800</v>
      </c>
      <c r="E860" s="216">
        <f t="shared" si="154"/>
        <v>166.66</v>
      </c>
      <c r="F860" s="216">
        <v>125</v>
      </c>
      <c r="G860" s="222" t="s">
        <v>1027</v>
      </c>
      <c r="J860" s="49">
        <f t="shared" si="158"/>
        <v>2812431800</v>
      </c>
      <c r="K860" s="217">
        <f t="shared" si="159"/>
        <v>166.66</v>
      </c>
      <c r="L860" s="282">
        <v>25.13</v>
      </c>
      <c r="M860" s="282">
        <f t="shared" si="153"/>
        <v>125</v>
      </c>
      <c r="N860" s="282">
        <f t="shared" si="160"/>
        <v>124.995</v>
      </c>
      <c r="O860" s="261"/>
      <c r="P860" s="261"/>
      <c r="Q860" s="345">
        <v>2813310381</v>
      </c>
      <c r="R860" s="49" t="s">
        <v>1480</v>
      </c>
      <c r="S860" s="349">
        <v>47.18</v>
      </c>
    </row>
    <row r="861" spans="2:19">
      <c r="B861" s="215">
        <v>2812432100</v>
      </c>
      <c r="E861" s="216">
        <f t="shared" si="154"/>
        <v>32.43</v>
      </c>
      <c r="F861" s="216">
        <v>24.32</v>
      </c>
      <c r="G861" s="222" t="s">
        <v>1028</v>
      </c>
      <c r="J861" s="49">
        <f t="shared" si="158"/>
        <v>2812432100</v>
      </c>
      <c r="K861" s="217">
        <f t="shared" si="159"/>
        <v>32.43</v>
      </c>
      <c r="L861" s="282">
        <v>137.22999999999999</v>
      </c>
      <c r="M861" s="282">
        <f t="shared" si="153"/>
        <v>24.32</v>
      </c>
      <c r="N861" s="282">
        <f t="shared" si="160"/>
        <v>24.322499999999998</v>
      </c>
      <c r="O861" s="261"/>
      <c r="P861" s="261"/>
      <c r="Q861" s="345">
        <v>2813310780</v>
      </c>
      <c r="R861" s="49" t="s">
        <v>1481</v>
      </c>
      <c r="S861" s="349">
        <v>22.73</v>
      </c>
    </row>
    <row r="862" spans="2:19">
      <c r="B862" s="215">
        <v>2812441400</v>
      </c>
      <c r="E862" s="216">
        <f t="shared" si="154"/>
        <v>177.04999999999998</v>
      </c>
      <c r="F862" s="216">
        <v>132.79</v>
      </c>
      <c r="G862" s="222" t="s">
        <v>1029</v>
      </c>
      <c r="J862" s="49">
        <f t="shared" si="158"/>
        <v>2812441400</v>
      </c>
      <c r="K862" s="217">
        <f t="shared" si="159"/>
        <v>177.04999999999998</v>
      </c>
      <c r="L862" s="282">
        <v>134.34</v>
      </c>
      <c r="M862" s="282">
        <f t="shared" si="153"/>
        <v>132.79</v>
      </c>
      <c r="N862" s="282">
        <f t="shared" si="160"/>
        <v>132.78749999999999</v>
      </c>
      <c r="O862" s="261"/>
      <c r="P862" s="261"/>
      <c r="Q862" s="345">
        <v>2813311300</v>
      </c>
      <c r="R862" s="49" t="s">
        <v>1482</v>
      </c>
      <c r="S862" s="349">
        <v>20.740000000000002</v>
      </c>
    </row>
    <row r="863" spans="2:19">
      <c r="B863" s="215">
        <v>2812441800</v>
      </c>
      <c r="E863" s="216">
        <f t="shared" si="154"/>
        <v>173.35</v>
      </c>
      <c r="F863" s="216">
        <v>130.01</v>
      </c>
      <c r="G863" s="222" t="s">
        <v>1030</v>
      </c>
      <c r="J863" s="49">
        <f t="shared" si="158"/>
        <v>2812441800</v>
      </c>
      <c r="K863" s="217">
        <f t="shared" si="159"/>
        <v>173.35</v>
      </c>
      <c r="L863" s="282">
        <v>134.34</v>
      </c>
      <c r="M863" s="282">
        <f t="shared" si="153"/>
        <v>130.01</v>
      </c>
      <c r="N863" s="282">
        <f t="shared" si="160"/>
        <v>130.01249999999999</v>
      </c>
      <c r="O863" s="261"/>
      <c r="P863" s="261"/>
      <c r="Q863" s="345">
        <v>2813311780</v>
      </c>
      <c r="R863" s="49" t="s">
        <v>1483</v>
      </c>
      <c r="S863" s="349">
        <v>17.64</v>
      </c>
    </row>
    <row r="864" spans="2:19">
      <c r="B864" s="215">
        <v>2812442000</v>
      </c>
      <c r="E864" s="216">
        <f t="shared" si="154"/>
        <v>173.35</v>
      </c>
      <c r="F864" s="216">
        <v>130.01</v>
      </c>
      <c r="G864" s="222" t="s">
        <v>1031</v>
      </c>
      <c r="J864" s="49">
        <f t="shared" si="158"/>
        <v>2812442000</v>
      </c>
      <c r="K864" s="217">
        <f t="shared" si="159"/>
        <v>173.35</v>
      </c>
      <c r="L864" s="282">
        <v>152.38999999999999</v>
      </c>
      <c r="M864" s="282">
        <f t="shared" ref="M864:M927" si="161">ROUND(N864,2)</f>
        <v>130.01</v>
      </c>
      <c r="N864" s="282">
        <f t="shared" si="160"/>
        <v>130.01249999999999</v>
      </c>
      <c r="O864" s="261"/>
      <c r="P864" s="261"/>
      <c r="Q864" s="345">
        <v>2813311980</v>
      </c>
      <c r="R864" s="49" t="s">
        <v>1485</v>
      </c>
      <c r="S864" s="349">
        <v>23.92</v>
      </c>
    </row>
    <row r="865" spans="2:19">
      <c r="B865" s="215">
        <v>2812452800</v>
      </c>
      <c r="E865" s="216">
        <f t="shared" si="154"/>
        <v>203.19</v>
      </c>
      <c r="F865" s="216">
        <v>152.38999999999999</v>
      </c>
      <c r="G865" s="222" t="s">
        <v>1032</v>
      </c>
      <c r="J865" s="49">
        <f t="shared" si="158"/>
        <v>2812452800</v>
      </c>
      <c r="K865" s="217">
        <f t="shared" si="159"/>
        <v>203.19</v>
      </c>
      <c r="L865" s="282">
        <v>289.83999999999997</v>
      </c>
      <c r="M865" s="282">
        <f t="shared" si="161"/>
        <v>152.38999999999999</v>
      </c>
      <c r="N865" s="282">
        <f t="shared" si="160"/>
        <v>152.39249999999998</v>
      </c>
      <c r="O865" s="261"/>
      <c r="P865" s="261"/>
      <c r="Q865" s="345">
        <v>2813316280</v>
      </c>
      <c r="R865" s="49" t="s">
        <v>1486</v>
      </c>
      <c r="S865" s="349">
        <v>7.58</v>
      </c>
    </row>
    <row r="866" spans="2:19">
      <c r="B866" s="215">
        <v>2812500000</v>
      </c>
      <c r="E866" s="216">
        <f t="shared" si="154"/>
        <v>338.89</v>
      </c>
      <c r="F866" s="216">
        <v>254.17</v>
      </c>
      <c r="G866" s="222" t="s">
        <v>1033</v>
      </c>
      <c r="J866" s="49">
        <f t="shared" si="158"/>
        <v>2812500000</v>
      </c>
      <c r="K866" s="217">
        <f t="shared" si="159"/>
        <v>338.89</v>
      </c>
      <c r="L866" s="282">
        <v>90.68</v>
      </c>
      <c r="M866" s="282">
        <f t="shared" si="161"/>
        <v>254.17</v>
      </c>
      <c r="N866" s="282">
        <f t="shared" si="160"/>
        <v>254.16749999999999</v>
      </c>
      <c r="O866" s="261"/>
      <c r="P866" s="261"/>
      <c r="Q866" s="345">
        <v>2813320000</v>
      </c>
      <c r="R866" s="49" t="s">
        <v>1487</v>
      </c>
      <c r="S866" s="349">
        <v>106.76</v>
      </c>
    </row>
    <row r="867" spans="2:19">
      <c r="B867" s="215">
        <v>2812500200</v>
      </c>
      <c r="E867" s="216">
        <f t="shared" si="154"/>
        <v>117.01</v>
      </c>
      <c r="F867" s="216">
        <v>87.76</v>
      </c>
      <c r="G867" s="222" t="s">
        <v>1034</v>
      </c>
      <c r="J867" s="49">
        <f t="shared" si="158"/>
        <v>2812500200</v>
      </c>
      <c r="K867" s="217">
        <f t="shared" si="159"/>
        <v>117.01</v>
      </c>
      <c r="L867" s="282">
        <v>99.1</v>
      </c>
      <c r="M867" s="282">
        <f t="shared" si="161"/>
        <v>87.76</v>
      </c>
      <c r="N867" s="282">
        <f t="shared" si="160"/>
        <v>87.757500000000007</v>
      </c>
      <c r="O867" s="261"/>
      <c r="P867" s="261"/>
      <c r="Q867" s="345">
        <v>2813320780</v>
      </c>
      <c r="R867" s="49" t="s">
        <v>1488</v>
      </c>
      <c r="S867" s="349">
        <v>40.669999999999995</v>
      </c>
    </row>
    <row r="868" spans="2:19">
      <c r="B868" s="215">
        <v>2812500300</v>
      </c>
      <c r="E868" s="216">
        <f t="shared" si="154"/>
        <v>127.87</v>
      </c>
      <c r="F868" s="216">
        <v>95.9</v>
      </c>
      <c r="G868" s="222" t="s">
        <v>1035</v>
      </c>
      <c r="J868" s="49">
        <f t="shared" si="158"/>
        <v>2812500300</v>
      </c>
      <c r="K868" s="217">
        <f t="shared" si="159"/>
        <v>127.87</v>
      </c>
      <c r="L868" s="282">
        <v>99.1</v>
      </c>
      <c r="M868" s="282">
        <f t="shared" si="161"/>
        <v>95.9</v>
      </c>
      <c r="N868" s="282">
        <f t="shared" si="160"/>
        <v>95.902500000000003</v>
      </c>
      <c r="O868" s="261"/>
      <c r="P868" s="261"/>
      <c r="Q868" s="345">
        <v>2813326280</v>
      </c>
      <c r="R868" s="49" t="s">
        <v>1490</v>
      </c>
      <c r="S868" s="349">
        <v>8.6</v>
      </c>
    </row>
    <row r="869" spans="2:19">
      <c r="B869" s="215">
        <v>2812500400</v>
      </c>
      <c r="E869" s="216">
        <f t="shared" si="154"/>
        <v>127.87</v>
      </c>
      <c r="F869" s="216">
        <v>95.9</v>
      </c>
      <c r="G869" s="222" t="s">
        <v>1036</v>
      </c>
      <c r="J869" s="49">
        <f t="shared" si="158"/>
        <v>2812500400</v>
      </c>
      <c r="K869" s="217">
        <f t="shared" si="159"/>
        <v>127.87</v>
      </c>
      <c r="L869" s="282">
        <v>134.94</v>
      </c>
      <c r="M869" s="282">
        <f t="shared" si="161"/>
        <v>95.9</v>
      </c>
      <c r="N869" s="282">
        <f t="shared" si="160"/>
        <v>95.902500000000003</v>
      </c>
      <c r="O869" s="261"/>
      <c r="P869" s="261"/>
      <c r="Q869" s="345">
        <v>2813330000</v>
      </c>
      <c r="R869" s="49" t="s">
        <v>1492</v>
      </c>
      <c r="S869" s="349">
        <v>395.65</v>
      </c>
    </row>
    <row r="870" spans="2:19">
      <c r="B870" s="215">
        <v>2812500500</v>
      </c>
      <c r="E870" s="216">
        <f t="shared" si="154"/>
        <v>174.12</v>
      </c>
      <c r="F870" s="216">
        <v>130.59</v>
      </c>
      <c r="G870" s="222" t="s">
        <v>1037</v>
      </c>
      <c r="J870" s="49">
        <f t="shared" si="158"/>
        <v>2812500500</v>
      </c>
      <c r="K870" s="217">
        <f t="shared" si="159"/>
        <v>174.12</v>
      </c>
      <c r="L870" s="282">
        <v>90.68</v>
      </c>
      <c r="M870" s="282">
        <f t="shared" si="161"/>
        <v>130.59</v>
      </c>
      <c r="N870" s="282">
        <f t="shared" si="160"/>
        <v>130.59</v>
      </c>
      <c r="O870" s="261"/>
      <c r="P870" s="261"/>
      <c r="Q870" s="345">
        <v>2813332200</v>
      </c>
      <c r="R870" s="49" t="s">
        <v>1493</v>
      </c>
      <c r="S870" s="349">
        <v>71.98</v>
      </c>
    </row>
    <row r="871" spans="2:19">
      <c r="B871" s="215">
        <v>2812500600</v>
      </c>
      <c r="E871" s="216">
        <f t="shared" si="154"/>
        <v>117.01</v>
      </c>
      <c r="F871" s="216">
        <v>87.76</v>
      </c>
      <c r="G871" s="222" t="s">
        <v>1038</v>
      </c>
      <c r="J871" s="49">
        <f t="shared" si="158"/>
        <v>2812500600</v>
      </c>
      <c r="K871" s="217">
        <f t="shared" si="159"/>
        <v>117.01</v>
      </c>
      <c r="L871" s="282">
        <v>136.06</v>
      </c>
      <c r="M871" s="282">
        <f t="shared" si="161"/>
        <v>87.76</v>
      </c>
      <c r="N871" s="282">
        <f t="shared" si="160"/>
        <v>87.757500000000007</v>
      </c>
      <c r="O871" s="261"/>
      <c r="P871" s="261"/>
      <c r="Q871" s="345">
        <v>2813332800</v>
      </c>
      <c r="R871" s="49" t="s">
        <v>1494</v>
      </c>
      <c r="S871" s="349">
        <v>4.8</v>
      </c>
    </row>
    <row r="872" spans="2:19">
      <c r="B872" s="215">
        <v>2812502220</v>
      </c>
      <c r="E872" s="216">
        <f t="shared" si="154"/>
        <v>175.57</v>
      </c>
      <c r="F872" s="216">
        <v>131.68</v>
      </c>
      <c r="G872" s="222" t="s">
        <v>1039</v>
      </c>
      <c r="J872" s="49">
        <f t="shared" si="158"/>
        <v>2812502220</v>
      </c>
      <c r="K872" s="217">
        <f t="shared" si="159"/>
        <v>175.57</v>
      </c>
      <c r="L872" s="282">
        <v>708.97</v>
      </c>
      <c r="M872" s="282">
        <f t="shared" si="161"/>
        <v>131.68</v>
      </c>
      <c r="N872" s="282">
        <f t="shared" si="160"/>
        <v>131.67750000000001</v>
      </c>
      <c r="O872" s="261"/>
      <c r="P872" s="261"/>
      <c r="Q872" s="345">
        <v>2813340000</v>
      </c>
      <c r="R872" s="49" t="s">
        <v>1495</v>
      </c>
      <c r="S872" s="349">
        <v>73.86</v>
      </c>
    </row>
    <row r="873" spans="2:19">
      <c r="B873" s="215">
        <v>2812502800</v>
      </c>
      <c r="E873" s="216">
        <f t="shared" si="154"/>
        <v>766.4</v>
      </c>
      <c r="F873" s="216">
        <v>574.79999999999995</v>
      </c>
      <c r="G873" s="222" t="s">
        <v>1040</v>
      </c>
      <c r="J873" s="49">
        <f t="shared" si="158"/>
        <v>2812502800</v>
      </c>
      <c r="K873" s="217">
        <f t="shared" si="159"/>
        <v>766.4</v>
      </c>
      <c r="L873" s="282">
        <v>525.29999999999995</v>
      </c>
      <c r="M873" s="282">
        <f t="shared" si="161"/>
        <v>574.79999999999995</v>
      </c>
      <c r="N873" s="282">
        <f t="shared" si="160"/>
        <v>574.79999999999995</v>
      </c>
      <c r="O873" s="261"/>
      <c r="P873" s="261"/>
      <c r="Q873" s="16">
        <v>2813400000</v>
      </c>
      <c r="R873" t="s">
        <v>1496</v>
      </c>
      <c r="S873" s="349">
        <v>180.28</v>
      </c>
    </row>
    <row r="874" spans="2:19">
      <c r="B874" s="215">
        <v>2812505100</v>
      </c>
      <c r="E874" s="216">
        <f t="shared" si="154"/>
        <v>677.79</v>
      </c>
      <c r="F874" s="216">
        <v>508.34</v>
      </c>
      <c r="G874" s="222" t="s">
        <v>1041</v>
      </c>
      <c r="J874" s="49">
        <f t="shared" si="158"/>
        <v>2812505100</v>
      </c>
      <c r="K874" s="217">
        <f t="shared" si="159"/>
        <v>677.79</v>
      </c>
      <c r="L874" s="282">
        <v>502.39</v>
      </c>
      <c r="M874" s="282">
        <f t="shared" si="161"/>
        <v>508.34</v>
      </c>
      <c r="N874" s="282">
        <f t="shared" si="160"/>
        <v>508.34249999999997</v>
      </c>
      <c r="O874" s="261"/>
      <c r="P874" s="261"/>
      <c r="Q874" s="16">
        <v>2813400280</v>
      </c>
      <c r="R874" t="s">
        <v>1497</v>
      </c>
      <c r="S874" s="349">
        <v>21.470000000000002</v>
      </c>
    </row>
    <row r="875" spans="2:19">
      <c r="B875" s="215">
        <v>2812505500</v>
      </c>
      <c r="E875" s="216">
        <f t="shared" si="154"/>
        <v>648.21</v>
      </c>
      <c r="F875" s="216">
        <v>486.16</v>
      </c>
      <c r="G875" s="222" t="s">
        <v>1042</v>
      </c>
      <c r="J875" s="49">
        <f t="shared" si="158"/>
        <v>2812505500</v>
      </c>
      <c r="K875" s="217">
        <f t="shared" si="159"/>
        <v>648.21</v>
      </c>
      <c r="L875" s="282">
        <v>117.18</v>
      </c>
      <c r="M875" s="282">
        <f t="shared" si="161"/>
        <v>486.16</v>
      </c>
      <c r="N875" s="282">
        <f t="shared" si="160"/>
        <v>486.15750000000003</v>
      </c>
      <c r="O875" s="261"/>
      <c r="P875" s="261"/>
      <c r="Q875" s="16">
        <v>2813400281</v>
      </c>
      <c r="R875" t="s">
        <v>1498</v>
      </c>
      <c r="S875" s="349">
        <v>40.96</v>
      </c>
    </row>
    <row r="876" spans="2:19">
      <c r="B876" s="215">
        <v>2812506520</v>
      </c>
      <c r="E876" s="216">
        <f t="shared" si="154"/>
        <v>151.20999999999998</v>
      </c>
      <c r="F876" s="216">
        <v>113.41</v>
      </c>
      <c r="G876" s="222" t="s">
        <v>1043</v>
      </c>
      <c r="J876" s="49">
        <f t="shared" si="158"/>
        <v>2812506520</v>
      </c>
      <c r="K876" s="217">
        <f t="shared" si="159"/>
        <v>151.20999999999998</v>
      </c>
      <c r="L876" s="282">
        <v>183.5</v>
      </c>
      <c r="M876" s="282">
        <f t="shared" si="161"/>
        <v>113.41</v>
      </c>
      <c r="N876" s="282">
        <f t="shared" si="160"/>
        <v>113.40749999999998</v>
      </c>
      <c r="O876" s="261"/>
      <c r="P876" s="261"/>
      <c r="Q876" s="16">
        <v>2813400380</v>
      </c>
      <c r="R876" t="s">
        <v>1499</v>
      </c>
      <c r="S876" s="349">
        <v>27.55</v>
      </c>
    </row>
    <row r="877" spans="2:19">
      <c r="B877" s="215">
        <v>2812510900</v>
      </c>
      <c r="E877" s="216">
        <f t="shared" si="154"/>
        <v>236.76999999999998</v>
      </c>
      <c r="F877" s="216">
        <v>177.58</v>
      </c>
      <c r="G877" s="222" t="s">
        <v>1044</v>
      </c>
      <c r="J877" s="49">
        <f t="shared" si="158"/>
        <v>2812510900</v>
      </c>
      <c r="K877" s="217">
        <f t="shared" si="159"/>
        <v>236.76999999999998</v>
      </c>
      <c r="L877" s="282">
        <v>192.96</v>
      </c>
      <c r="M877" s="282">
        <f t="shared" si="161"/>
        <v>177.58</v>
      </c>
      <c r="N877" s="282">
        <f t="shared" si="160"/>
        <v>177.57749999999999</v>
      </c>
      <c r="O877" s="261"/>
      <c r="P877" s="261"/>
      <c r="Q877" s="345">
        <v>2813400480</v>
      </c>
      <c r="R877" s="49" t="s">
        <v>1500</v>
      </c>
      <c r="S877" s="349">
        <v>30.900000000000002</v>
      </c>
    </row>
    <row r="878" spans="2:19">
      <c r="B878" s="215">
        <v>2812512220</v>
      </c>
      <c r="E878" s="216">
        <f t="shared" si="154"/>
        <v>277.21999999999997</v>
      </c>
      <c r="F878" s="216">
        <v>207.92</v>
      </c>
      <c r="G878" s="222" t="s">
        <v>1045</v>
      </c>
      <c r="J878" s="49">
        <f t="shared" si="158"/>
        <v>2812512220</v>
      </c>
      <c r="K878" s="217">
        <f t="shared" si="159"/>
        <v>277.21999999999997</v>
      </c>
      <c r="L878" s="282">
        <v>260.07</v>
      </c>
      <c r="M878" s="282">
        <f t="shared" si="161"/>
        <v>207.92</v>
      </c>
      <c r="N878" s="282">
        <f t="shared" si="160"/>
        <v>207.91499999999996</v>
      </c>
      <c r="O878" s="261"/>
      <c r="P878" s="261"/>
      <c r="Q878" s="345">
        <v>2813400580</v>
      </c>
      <c r="R878" s="49" t="s">
        <v>1501</v>
      </c>
      <c r="S878" s="349">
        <v>26.040000000000003</v>
      </c>
    </row>
    <row r="879" spans="2:19">
      <c r="B879" s="215">
        <v>2812515400</v>
      </c>
      <c r="E879" s="216">
        <f t="shared" si="154"/>
        <v>335.55</v>
      </c>
      <c r="F879" s="216">
        <v>251.66</v>
      </c>
      <c r="G879" s="222" t="s">
        <v>1046</v>
      </c>
      <c r="J879" s="49">
        <f t="shared" si="158"/>
        <v>2812515400</v>
      </c>
      <c r="K879" s="217">
        <f t="shared" si="159"/>
        <v>335.55</v>
      </c>
      <c r="L879" s="282">
        <v>200.53</v>
      </c>
      <c r="M879" s="282">
        <f t="shared" si="161"/>
        <v>251.66</v>
      </c>
      <c r="N879" s="282">
        <f t="shared" si="160"/>
        <v>251.66250000000002</v>
      </c>
      <c r="O879" s="261"/>
      <c r="P879" s="261"/>
      <c r="Q879" s="345">
        <v>2813400680</v>
      </c>
      <c r="R879" s="49" t="s">
        <v>1502</v>
      </c>
      <c r="S879" s="349">
        <v>35.47</v>
      </c>
    </row>
    <row r="880" spans="2:19">
      <c r="B880" s="215">
        <v>2812540700</v>
      </c>
      <c r="E880" s="216">
        <f t="shared" si="154"/>
        <v>258.75</v>
      </c>
      <c r="F880" s="216">
        <v>194.06</v>
      </c>
      <c r="G880" s="222" t="s">
        <v>1047</v>
      </c>
      <c r="J880" s="49">
        <f t="shared" si="158"/>
        <v>2812540700</v>
      </c>
      <c r="K880" s="217">
        <f t="shared" si="159"/>
        <v>258.75</v>
      </c>
      <c r="L880" s="282">
        <v>179.18</v>
      </c>
      <c r="M880" s="282">
        <f t="shared" si="161"/>
        <v>194.06</v>
      </c>
      <c r="N880" s="282">
        <f t="shared" si="160"/>
        <v>194.0625</v>
      </c>
      <c r="O880" s="261"/>
      <c r="P880" s="261"/>
      <c r="Q880" s="345">
        <v>2813402200</v>
      </c>
      <c r="R880" s="49" t="s">
        <v>1503</v>
      </c>
      <c r="S880" s="349">
        <v>19.720000000000002</v>
      </c>
    </row>
    <row r="881" spans="2:19">
      <c r="B881" s="215">
        <v>2812541800</v>
      </c>
      <c r="E881" s="216">
        <f t="shared" si="154"/>
        <v>231.20999999999998</v>
      </c>
      <c r="F881" s="216">
        <v>173.41</v>
      </c>
      <c r="G881" s="222" t="s">
        <v>1048</v>
      </c>
      <c r="J881" s="49">
        <f t="shared" si="158"/>
        <v>2812541800</v>
      </c>
      <c r="K881" s="217">
        <f t="shared" si="159"/>
        <v>231.20999999999998</v>
      </c>
      <c r="L881" s="282">
        <v>27.5</v>
      </c>
      <c r="M881" s="282">
        <f t="shared" si="161"/>
        <v>173.41</v>
      </c>
      <c r="N881" s="282">
        <f t="shared" si="160"/>
        <v>173.40749999999997</v>
      </c>
      <c r="O881" s="261"/>
      <c r="P881" s="261"/>
      <c r="Q881" s="345">
        <v>2813402800</v>
      </c>
      <c r="R881" s="49" t="s">
        <v>1504</v>
      </c>
      <c r="S881" s="349">
        <v>16.100000000000001</v>
      </c>
    </row>
    <row r="882" spans="2:19">
      <c r="B882" s="215">
        <v>2812542100</v>
      </c>
      <c r="E882" s="216">
        <f t="shared" ref="E882:E937" si="162">VLOOKUP(B882,$Q$14:$S$1164,3,FALSE)</f>
        <v>35.489999999999995</v>
      </c>
      <c r="F882" s="216">
        <v>26.62</v>
      </c>
      <c r="G882" s="222" t="s">
        <v>1049</v>
      </c>
      <c r="J882" s="49">
        <f t="shared" ref="J882:J913" si="163">B882*$K$13</f>
        <v>2812542100</v>
      </c>
      <c r="K882" s="217">
        <f t="shared" ref="K882:K913" si="164">VLOOKUP(J882,$Q$14:$S$1164,3,FALSE)</f>
        <v>35.489999999999995</v>
      </c>
      <c r="L882" s="282">
        <v>176.42</v>
      </c>
      <c r="M882" s="282">
        <f t="shared" si="161"/>
        <v>26.62</v>
      </c>
      <c r="N882" s="282">
        <f t="shared" ref="N882:N913" si="165">K882*$N$13</f>
        <v>26.617499999999996</v>
      </c>
      <c r="O882" s="261"/>
      <c r="P882" s="261"/>
      <c r="Q882" s="345">
        <v>2813405180</v>
      </c>
      <c r="R882" s="49" t="s">
        <v>1505</v>
      </c>
      <c r="S882" s="349">
        <v>152.51</v>
      </c>
    </row>
    <row r="883" spans="2:19">
      <c r="B883" s="215">
        <v>2812551400</v>
      </c>
      <c r="E883" s="216">
        <f t="shared" si="162"/>
        <v>227.63</v>
      </c>
      <c r="F883" s="216">
        <v>170.72</v>
      </c>
      <c r="G883" s="222" t="s">
        <v>1050</v>
      </c>
      <c r="J883" s="49">
        <f t="shared" si="163"/>
        <v>2812551400</v>
      </c>
      <c r="K883" s="217">
        <f t="shared" si="164"/>
        <v>227.63</v>
      </c>
      <c r="L883" s="282">
        <v>179.18</v>
      </c>
      <c r="M883" s="282">
        <f t="shared" si="161"/>
        <v>170.72</v>
      </c>
      <c r="N883" s="282">
        <f t="shared" si="165"/>
        <v>170.7225</v>
      </c>
      <c r="O883" s="261"/>
      <c r="P883" s="261"/>
      <c r="Q883" s="345">
        <v>2813410000</v>
      </c>
      <c r="R883" s="49" t="s">
        <v>1506</v>
      </c>
      <c r="S883" s="349">
        <v>754.25</v>
      </c>
    </row>
    <row r="884" spans="2:19">
      <c r="B884" s="215">
        <v>2812551800</v>
      </c>
      <c r="E884" s="216">
        <f t="shared" si="162"/>
        <v>231.20999999999998</v>
      </c>
      <c r="F884" s="216">
        <v>173.41</v>
      </c>
      <c r="G884" s="222" t="s">
        <v>1051</v>
      </c>
      <c r="J884" s="49">
        <f t="shared" si="163"/>
        <v>2812551800</v>
      </c>
      <c r="K884" s="217">
        <f t="shared" si="164"/>
        <v>231.20999999999998</v>
      </c>
      <c r="L884" s="282">
        <v>179.18</v>
      </c>
      <c r="M884" s="282">
        <f t="shared" si="161"/>
        <v>173.41</v>
      </c>
      <c r="N884" s="282">
        <f t="shared" si="165"/>
        <v>173.40749999999997</v>
      </c>
      <c r="O884" s="261"/>
      <c r="P884" s="261"/>
      <c r="Q884" s="345">
        <v>2813420381</v>
      </c>
      <c r="R884" s="49" t="s">
        <v>1507</v>
      </c>
      <c r="S884" s="349">
        <v>69.070000000000007</v>
      </c>
    </row>
    <row r="885" spans="2:19">
      <c r="B885" s="215">
        <v>2812552000</v>
      </c>
      <c r="E885" s="216">
        <f t="shared" si="162"/>
        <v>231.20999999999998</v>
      </c>
      <c r="F885" s="216">
        <v>173.41</v>
      </c>
      <c r="G885" s="222" t="s">
        <v>1052</v>
      </c>
      <c r="J885" s="49">
        <f t="shared" si="163"/>
        <v>2812552000</v>
      </c>
      <c r="K885" s="217">
        <f t="shared" si="164"/>
        <v>231.20999999999998</v>
      </c>
      <c r="L885" s="282">
        <v>500.41</v>
      </c>
      <c r="M885" s="282">
        <f t="shared" si="161"/>
        <v>173.41</v>
      </c>
      <c r="N885" s="282">
        <f t="shared" si="165"/>
        <v>173.40749999999997</v>
      </c>
      <c r="O885" s="261"/>
      <c r="P885" s="261"/>
      <c r="Q885" s="345">
        <v>2813420780</v>
      </c>
      <c r="R885" s="49" t="s">
        <v>1508</v>
      </c>
      <c r="S885" s="349">
        <v>50.129999999999995</v>
      </c>
    </row>
    <row r="886" spans="2:19">
      <c r="B886" s="215">
        <v>2812600000</v>
      </c>
      <c r="E886" s="216">
        <f t="shared" si="162"/>
        <v>736.62</v>
      </c>
      <c r="F886" s="216">
        <v>552.47</v>
      </c>
      <c r="G886" s="222" t="s">
        <v>1053</v>
      </c>
      <c r="J886" s="49">
        <f t="shared" si="163"/>
        <v>2812600000</v>
      </c>
      <c r="K886" s="217">
        <f t="shared" si="164"/>
        <v>736.62</v>
      </c>
      <c r="L886" s="282">
        <v>150.5</v>
      </c>
      <c r="M886" s="282">
        <f t="shared" si="161"/>
        <v>552.47</v>
      </c>
      <c r="N886" s="282">
        <f t="shared" si="165"/>
        <v>552.46500000000003</v>
      </c>
      <c r="O886" s="261"/>
      <c r="P886" s="261"/>
      <c r="Q886" s="345">
        <v>2813421300</v>
      </c>
      <c r="R886" s="49" t="s">
        <v>1509</v>
      </c>
      <c r="S886" s="349">
        <v>30.380000000000003</v>
      </c>
    </row>
    <row r="887" spans="2:19">
      <c r="B887" s="215">
        <v>2812600200</v>
      </c>
      <c r="E887" s="216">
        <f t="shared" si="162"/>
        <v>194.19</v>
      </c>
      <c r="F887" s="216">
        <v>145.63999999999999</v>
      </c>
      <c r="G887" s="222" t="s">
        <v>1054</v>
      </c>
      <c r="J887" s="49">
        <f t="shared" si="163"/>
        <v>2812600200</v>
      </c>
      <c r="K887" s="217">
        <f t="shared" si="164"/>
        <v>194.19</v>
      </c>
      <c r="L887" s="282">
        <v>164.48</v>
      </c>
      <c r="M887" s="282">
        <f t="shared" si="161"/>
        <v>145.63999999999999</v>
      </c>
      <c r="N887" s="282">
        <f t="shared" si="165"/>
        <v>145.64249999999998</v>
      </c>
      <c r="O887" s="261"/>
      <c r="P887" s="261"/>
      <c r="Q887" s="345">
        <v>2813421780</v>
      </c>
      <c r="R887" s="49" t="s">
        <v>1510</v>
      </c>
      <c r="S887" s="349">
        <v>22.080000000000002</v>
      </c>
    </row>
    <row r="888" spans="2:19">
      <c r="B888" s="215">
        <v>2812600300</v>
      </c>
      <c r="E888" s="216">
        <f t="shared" si="162"/>
        <v>212.23</v>
      </c>
      <c r="F888" s="216">
        <v>159.16999999999999</v>
      </c>
      <c r="G888" s="222" t="s">
        <v>1055</v>
      </c>
      <c r="J888" s="49">
        <f t="shared" si="163"/>
        <v>2812600300</v>
      </c>
      <c r="K888" s="217">
        <f t="shared" si="164"/>
        <v>212.23</v>
      </c>
      <c r="L888" s="282">
        <v>164.48</v>
      </c>
      <c r="M888" s="282">
        <f t="shared" si="161"/>
        <v>159.16999999999999</v>
      </c>
      <c r="N888" s="282">
        <f t="shared" si="165"/>
        <v>159.17249999999999</v>
      </c>
      <c r="O888" s="261"/>
      <c r="P888" s="261"/>
      <c r="Q888" s="345">
        <v>2813421980</v>
      </c>
      <c r="R888" s="49" t="s">
        <v>1511</v>
      </c>
      <c r="S888" s="349">
        <v>32.79</v>
      </c>
    </row>
    <row r="889" spans="2:19">
      <c r="B889" s="215">
        <v>2812600400</v>
      </c>
      <c r="E889" s="216">
        <f t="shared" si="162"/>
        <v>212.23</v>
      </c>
      <c r="F889" s="216">
        <v>159.16999999999999</v>
      </c>
      <c r="G889" s="222" t="s">
        <v>1056</v>
      </c>
      <c r="J889" s="49">
        <f t="shared" si="163"/>
        <v>2812600400</v>
      </c>
      <c r="K889" s="217">
        <f t="shared" si="164"/>
        <v>212.23</v>
      </c>
      <c r="L889" s="282">
        <v>350.51</v>
      </c>
      <c r="M889" s="282">
        <f t="shared" si="161"/>
        <v>159.16999999999999</v>
      </c>
      <c r="N889" s="282">
        <f t="shared" si="165"/>
        <v>159.17249999999999</v>
      </c>
      <c r="O889" s="261"/>
      <c r="P889" s="261"/>
      <c r="Q889" s="345">
        <v>2813426280</v>
      </c>
      <c r="R889" s="49" t="s">
        <v>1512</v>
      </c>
      <c r="S889" s="349">
        <v>21.96</v>
      </c>
    </row>
    <row r="890" spans="2:19">
      <c r="B890" s="215">
        <v>2812600500</v>
      </c>
      <c r="E890" s="216">
        <f t="shared" si="162"/>
        <v>452.28</v>
      </c>
      <c r="F890" s="216">
        <v>339.21</v>
      </c>
      <c r="G890" s="222" t="s">
        <v>1057</v>
      </c>
      <c r="J890" s="49">
        <f t="shared" si="163"/>
        <v>2812600500</v>
      </c>
      <c r="K890" s="217">
        <f t="shared" si="164"/>
        <v>452.28</v>
      </c>
      <c r="L890" s="282">
        <v>150.5</v>
      </c>
      <c r="M890" s="282">
        <f t="shared" si="161"/>
        <v>339.21</v>
      </c>
      <c r="N890" s="282">
        <f t="shared" si="165"/>
        <v>339.21</v>
      </c>
      <c r="O890" s="261"/>
      <c r="P890" s="261"/>
      <c r="Q890" s="345">
        <v>2813430780</v>
      </c>
      <c r="R890" s="49" t="s">
        <v>1513</v>
      </c>
      <c r="S890" s="349">
        <v>44.12</v>
      </c>
    </row>
    <row r="891" spans="2:19">
      <c r="B891" s="215">
        <v>2812600600</v>
      </c>
      <c r="E891" s="216">
        <f t="shared" si="162"/>
        <v>194.19</v>
      </c>
      <c r="F891" s="216">
        <v>145.63999999999999</v>
      </c>
      <c r="G891" s="222" t="s">
        <v>1058</v>
      </c>
      <c r="J891" s="49">
        <f t="shared" si="163"/>
        <v>2812600600</v>
      </c>
      <c r="K891" s="217">
        <f t="shared" si="164"/>
        <v>194.19</v>
      </c>
      <c r="L891" s="282">
        <v>238.96</v>
      </c>
      <c r="M891" s="282">
        <f t="shared" si="161"/>
        <v>145.63999999999999</v>
      </c>
      <c r="N891" s="282">
        <f t="shared" si="165"/>
        <v>145.64249999999998</v>
      </c>
      <c r="O891" s="261"/>
      <c r="P891" s="261"/>
      <c r="Q891" s="345">
        <v>2813430781</v>
      </c>
      <c r="R891" s="49" t="s">
        <v>1514</v>
      </c>
      <c r="S891" s="349">
        <v>48.4</v>
      </c>
    </row>
    <row r="892" spans="2:19">
      <c r="B892" s="215">
        <v>2812602220</v>
      </c>
      <c r="E892" s="216">
        <f t="shared" si="162"/>
        <v>308.32</v>
      </c>
      <c r="F892" s="216">
        <v>231.24</v>
      </c>
      <c r="G892" s="222" t="s">
        <v>1059</v>
      </c>
      <c r="J892" s="49">
        <f t="shared" si="163"/>
        <v>2812602220</v>
      </c>
      <c r="K892" s="217">
        <f t="shared" si="164"/>
        <v>308.32</v>
      </c>
      <c r="L892" s="282">
        <v>1502.27</v>
      </c>
      <c r="M892" s="282">
        <f t="shared" si="161"/>
        <v>231.24</v>
      </c>
      <c r="N892" s="282">
        <f t="shared" si="165"/>
        <v>231.24</v>
      </c>
      <c r="O892" s="261"/>
      <c r="P892" s="261"/>
      <c r="Q892" s="345">
        <v>2813436280</v>
      </c>
      <c r="R892" s="49" t="s">
        <v>1516</v>
      </c>
      <c r="S892" s="349">
        <v>22.8</v>
      </c>
    </row>
    <row r="893" spans="2:19">
      <c r="B893" s="215">
        <v>2812602800</v>
      </c>
      <c r="E893" s="216">
        <f t="shared" si="162"/>
        <v>1685.99</v>
      </c>
      <c r="F893" s="216">
        <v>1264.49</v>
      </c>
      <c r="G893" s="222" t="s">
        <v>1060</v>
      </c>
      <c r="J893" s="49">
        <f t="shared" si="163"/>
        <v>2812602800</v>
      </c>
      <c r="K893" s="217">
        <f t="shared" si="164"/>
        <v>1685.99</v>
      </c>
      <c r="L893" s="282">
        <v>978.75</v>
      </c>
      <c r="M893" s="282">
        <f t="shared" si="161"/>
        <v>1264.49</v>
      </c>
      <c r="N893" s="282">
        <f t="shared" si="165"/>
        <v>1264.4925000000001</v>
      </c>
      <c r="O893" s="261"/>
      <c r="P893" s="261"/>
      <c r="Q893" s="345">
        <v>2813440000</v>
      </c>
      <c r="R893" s="49" t="s">
        <v>1517</v>
      </c>
      <c r="S893" s="349">
        <v>81.67</v>
      </c>
    </row>
    <row r="894" spans="2:19">
      <c r="B894" s="215">
        <v>2812605100</v>
      </c>
      <c r="E894" s="216">
        <f t="shared" si="162"/>
        <v>1262.83</v>
      </c>
      <c r="F894" s="216">
        <v>947.12</v>
      </c>
      <c r="G894" s="222" t="s">
        <v>1061</v>
      </c>
      <c r="J894" s="49">
        <f t="shared" si="163"/>
        <v>2812605100</v>
      </c>
      <c r="K894" s="217">
        <f t="shared" si="164"/>
        <v>1262.83</v>
      </c>
      <c r="L894" s="282">
        <v>224.45</v>
      </c>
      <c r="M894" s="282">
        <f t="shared" si="161"/>
        <v>947.12</v>
      </c>
      <c r="N894" s="282">
        <f t="shared" si="165"/>
        <v>947.12249999999995</v>
      </c>
      <c r="O894" s="261"/>
      <c r="P894" s="261"/>
      <c r="Q894" s="345">
        <v>2813442200</v>
      </c>
      <c r="R894" s="49" t="s">
        <v>1518</v>
      </c>
      <c r="S894" s="349">
        <v>72.22</v>
      </c>
    </row>
    <row r="895" spans="2:19">
      <c r="B895" s="215">
        <v>2812606510</v>
      </c>
      <c r="E895" s="216">
        <f t="shared" si="162"/>
        <v>289.58999999999997</v>
      </c>
      <c r="F895" s="216">
        <v>217.19</v>
      </c>
      <c r="G895" s="222" t="s">
        <v>1062</v>
      </c>
      <c r="J895" s="49">
        <f t="shared" si="163"/>
        <v>2812606510</v>
      </c>
      <c r="K895" s="217">
        <f t="shared" si="164"/>
        <v>289.58999999999997</v>
      </c>
      <c r="L895" s="282">
        <v>292.52</v>
      </c>
      <c r="M895" s="282">
        <f t="shared" si="161"/>
        <v>217.19</v>
      </c>
      <c r="N895" s="282">
        <f t="shared" si="165"/>
        <v>217.1925</v>
      </c>
      <c r="O895" s="261"/>
      <c r="P895" s="261"/>
      <c r="Q895" s="345">
        <v>2813442800</v>
      </c>
      <c r="R895" s="49" t="s">
        <v>1519</v>
      </c>
      <c r="S895" s="349">
        <v>5.4399999999999995</v>
      </c>
    </row>
    <row r="896" spans="2:19">
      <c r="B896" s="215">
        <v>2812610900</v>
      </c>
      <c r="E896" s="216">
        <f t="shared" si="162"/>
        <v>377.44</v>
      </c>
      <c r="F896" s="216">
        <v>283.08</v>
      </c>
      <c r="G896" s="222" t="s">
        <v>1063</v>
      </c>
      <c r="J896" s="49">
        <f t="shared" si="163"/>
        <v>2812610900</v>
      </c>
      <c r="K896" s="217">
        <f t="shared" si="164"/>
        <v>377.44</v>
      </c>
      <c r="L896" s="282">
        <v>254.1</v>
      </c>
      <c r="M896" s="282">
        <f t="shared" si="161"/>
        <v>283.08</v>
      </c>
      <c r="N896" s="282">
        <f t="shared" si="165"/>
        <v>283.08</v>
      </c>
      <c r="O896" s="261"/>
      <c r="P896" s="261"/>
      <c r="Q896" s="345">
        <v>2813910000</v>
      </c>
      <c r="R896" s="49" t="s">
        <v>1520</v>
      </c>
      <c r="S896" s="349">
        <v>3.94</v>
      </c>
    </row>
    <row r="897" spans="2:19">
      <c r="B897" s="215">
        <v>2812612220</v>
      </c>
      <c r="E897" s="216">
        <f t="shared" si="162"/>
        <v>365.06</v>
      </c>
      <c r="F897" s="216">
        <v>273.8</v>
      </c>
      <c r="G897" s="222" t="s">
        <v>1064</v>
      </c>
      <c r="J897" s="49">
        <f t="shared" si="163"/>
        <v>2812612220</v>
      </c>
      <c r="K897" s="217">
        <f t="shared" si="164"/>
        <v>365.06</v>
      </c>
      <c r="L897" s="282">
        <v>460.76</v>
      </c>
      <c r="M897" s="282">
        <f t="shared" si="161"/>
        <v>273.8</v>
      </c>
      <c r="N897" s="282">
        <f t="shared" si="165"/>
        <v>273.79500000000002</v>
      </c>
      <c r="O897" s="261"/>
      <c r="P897" s="261"/>
      <c r="Q897" s="345">
        <v>2813910001</v>
      </c>
      <c r="R897" s="49" t="s">
        <v>1521</v>
      </c>
      <c r="S897" s="349">
        <v>4.63</v>
      </c>
    </row>
    <row r="898" spans="2:19">
      <c r="B898" s="215">
        <v>2812615400</v>
      </c>
      <c r="E898" s="216">
        <f t="shared" si="162"/>
        <v>594.5</v>
      </c>
      <c r="F898" s="216">
        <v>445.88</v>
      </c>
      <c r="G898" s="222" t="s">
        <v>1065</v>
      </c>
      <c r="J898" s="49">
        <f t="shared" si="163"/>
        <v>2812615400</v>
      </c>
      <c r="K898" s="217">
        <f t="shared" si="164"/>
        <v>594.5</v>
      </c>
      <c r="L898" s="282">
        <v>156.77000000000001</v>
      </c>
      <c r="M898" s="282">
        <f t="shared" si="161"/>
        <v>445.88</v>
      </c>
      <c r="N898" s="282">
        <f t="shared" si="165"/>
        <v>445.875</v>
      </c>
      <c r="O898" s="261"/>
      <c r="P898" s="261"/>
      <c r="Q898" s="345">
        <v>2813910002</v>
      </c>
      <c r="R898" s="49" t="s">
        <v>1522</v>
      </c>
      <c r="S898" s="349">
        <v>8.9700000000000006</v>
      </c>
    </row>
    <row r="899" spans="2:19">
      <c r="B899" s="215">
        <v>2812631000</v>
      </c>
      <c r="E899" s="216">
        <f t="shared" si="162"/>
        <v>213.57999999999998</v>
      </c>
      <c r="F899" s="216">
        <v>160.19</v>
      </c>
      <c r="G899" s="222" t="s">
        <v>1066</v>
      </c>
      <c r="J899" s="49">
        <f t="shared" si="163"/>
        <v>2812631000</v>
      </c>
      <c r="K899" s="217">
        <f t="shared" si="164"/>
        <v>213.57999999999998</v>
      </c>
      <c r="L899" s="282">
        <v>319.68</v>
      </c>
      <c r="M899" s="282">
        <f t="shared" si="161"/>
        <v>160.19</v>
      </c>
      <c r="N899" s="282">
        <f t="shared" si="165"/>
        <v>160.185</v>
      </c>
      <c r="O899" s="261"/>
      <c r="P899" s="261"/>
      <c r="Q899" s="345">
        <v>2813910003</v>
      </c>
      <c r="R899" s="49" t="s">
        <v>1523</v>
      </c>
      <c r="S899" s="349">
        <v>4.8499999999999996</v>
      </c>
    </row>
    <row r="900" spans="2:19">
      <c r="B900" s="215">
        <v>2812650700</v>
      </c>
      <c r="E900" s="216">
        <f t="shared" si="162"/>
        <v>412.49</v>
      </c>
      <c r="F900" s="216">
        <v>309.37</v>
      </c>
      <c r="G900" s="222" t="s">
        <v>1067</v>
      </c>
      <c r="J900" s="49">
        <f t="shared" si="163"/>
        <v>2812650700</v>
      </c>
      <c r="K900" s="217">
        <f t="shared" si="164"/>
        <v>412.49</v>
      </c>
      <c r="L900" s="282">
        <v>117.99</v>
      </c>
      <c r="M900" s="282">
        <f t="shared" si="161"/>
        <v>309.37</v>
      </c>
      <c r="N900" s="282">
        <f t="shared" si="165"/>
        <v>309.36750000000001</v>
      </c>
      <c r="O900" s="261"/>
      <c r="P900" s="261"/>
      <c r="Q900" s="345">
        <v>2813910004</v>
      </c>
      <c r="R900" s="49" t="s">
        <v>1524</v>
      </c>
      <c r="S900" s="349">
        <v>9.49</v>
      </c>
    </row>
    <row r="901" spans="2:19">
      <c r="B901" s="215">
        <v>2812652100</v>
      </c>
      <c r="E901" s="216">
        <f t="shared" si="162"/>
        <v>152.23999999999998</v>
      </c>
      <c r="F901" s="216">
        <v>114.18</v>
      </c>
      <c r="G901" s="222" t="s">
        <v>1068</v>
      </c>
      <c r="J901" s="49">
        <f t="shared" si="163"/>
        <v>2812652100</v>
      </c>
      <c r="K901" s="217">
        <f t="shared" si="164"/>
        <v>152.23999999999998</v>
      </c>
      <c r="L901" s="282">
        <v>128.91</v>
      </c>
      <c r="M901" s="282">
        <f t="shared" si="161"/>
        <v>114.18</v>
      </c>
      <c r="N901" s="282">
        <f t="shared" si="165"/>
        <v>114.17999999999998</v>
      </c>
      <c r="O901" s="261"/>
      <c r="P901" s="261"/>
      <c r="Q901" s="345">
        <v>2813910005</v>
      </c>
      <c r="R901" s="49" t="s">
        <v>1525</v>
      </c>
      <c r="S901" s="349">
        <v>16.110000000000003</v>
      </c>
    </row>
    <row r="902" spans="2:19">
      <c r="B902" s="215">
        <v>2812652102</v>
      </c>
      <c r="E902" s="216">
        <f t="shared" si="162"/>
        <v>171.88</v>
      </c>
      <c r="F902" s="216">
        <v>128.91</v>
      </c>
      <c r="G902" s="222" t="s">
        <v>1068</v>
      </c>
      <c r="J902" s="49">
        <f t="shared" si="163"/>
        <v>2812652102</v>
      </c>
      <c r="K902" s="217">
        <f t="shared" si="164"/>
        <v>171.88</v>
      </c>
      <c r="L902" s="282">
        <v>336.4</v>
      </c>
      <c r="M902" s="282">
        <f t="shared" si="161"/>
        <v>128.91</v>
      </c>
      <c r="N902" s="282">
        <f t="shared" si="165"/>
        <v>128.91</v>
      </c>
      <c r="O902" s="261"/>
      <c r="P902" s="261"/>
      <c r="Q902" s="345">
        <v>2813910006</v>
      </c>
      <c r="R902" s="49" t="s">
        <v>1526</v>
      </c>
      <c r="S902" s="349">
        <v>7.4</v>
      </c>
    </row>
    <row r="903" spans="2:19">
      <c r="B903" s="215">
        <v>2812661800</v>
      </c>
      <c r="E903" s="216">
        <f t="shared" si="162"/>
        <v>434.05</v>
      </c>
      <c r="F903" s="216">
        <v>325.54000000000002</v>
      </c>
      <c r="G903" s="222" t="s">
        <v>1069</v>
      </c>
      <c r="J903" s="49">
        <f t="shared" si="163"/>
        <v>2812661800</v>
      </c>
      <c r="K903" s="217">
        <f t="shared" si="164"/>
        <v>434.05</v>
      </c>
      <c r="L903" s="282">
        <v>723.58</v>
      </c>
      <c r="M903" s="282">
        <f t="shared" si="161"/>
        <v>325.54000000000002</v>
      </c>
      <c r="N903" s="282">
        <f t="shared" si="165"/>
        <v>325.53750000000002</v>
      </c>
      <c r="O903" s="261"/>
      <c r="P903" s="261"/>
      <c r="Q903" s="345">
        <v>2813910007</v>
      </c>
      <c r="R903" s="49" t="s">
        <v>1527</v>
      </c>
      <c r="S903" s="349">
        <v>5.04</v>
      </c>
    </row>
    <row r="904" spans="2:19">
      <c r="B904" s="215">
        <v>2812700000</v>
      </c>
      <c r="E904" s="216">
        <f t="shared" si="162"/>
        <v>1065.1500000000001</v>
      </c>
      <c r="F904" s="216">
        <v>798.86</v>
      </c>
      <c r="G904" s="222" t="s">
        <v>1070</v>
      </c>
      <c r="J904" s="49">
        <f t="shared" si="163"/>
        <v>2812700000</v>
      </c>
      <c r="K904" s="217">
        <f t="shared" si="164"/>
        <v>1065.1500000000001</v>
      </c>
      <c r="L904" s="282">
        <v>175.82</v>
      </c>
      <c r="M904" s="282">
        <f t="shared" si="161"/>
        <v>798.86</v>
      </c>
      <c r="N904" s="282">
        <f t="shared" si="165"/>
        <v>798.86250000000007</v>
      </c>
      <c r="O904" s="261"/>
      <c r="P904" s="261"/>
      <c r="Q904" s="345">
        <v>2813910008</v>
      </c>
      <c r="R904" s="49" t="s">
        <v>1528</v>
      </c>
      <c r="S904" s="349">
        <v>3.32</v>
      </c>
    </row>
    <row r="905" spans="2:19">
      <c r="B905" s="215">
        <v>2812700200</v>
      </c>
      <c r="E905" s="216">
        <f t="shared" si="162"/>
        <v>226.87</v>
      </c>
      <c r="F905" s="216">
        <v>170.15</v>
      </c>
      <c r="G905" s="222" t="s">
        <v>1071</v>
      </c>
      <c r="J905" s="49">
        <f t="shared" si="163"/>
        <v>2812700200</v>
      </c>
      <c r="K905" s="217">
        <f t="shared" si="164"/>
        <v>226.87</v>
      </c>
      <c r="L905" s="282">
        <v>217.96</v>
      </c>
      <c r="M905" s="282">
        <f t="shared" si="161"/>
        <v>170.15</v>
      </c>
      <c r="N905" s="282">
        <f t="shared" si="165"/>
        <v>170.1525</v>
      </c>
      <c r="O905" s="261"/>
      <c r="P905" s="261"/>
      <c r="Q905" s="345">
        <v>2813910009</v>
      </c>
      <c r="R905" s="49" t="s">
        <v>1529</v>
      </c>
      <c r="S905" s="349">
        <v>35.83</v>
      </c>
    </row>
    <row r="906" spans="2:19">
      <c r="B906" s="215">
        <v>2812700300</v>
      </c>
      <c r="E906" s="216">
        <f t="shared" si="162"/>
        <v>281.20999999999998</v>
      </c>
      <c r="F906" s="216">
        <v>210.91</v>
      </c>
      <c r="G906" s="222" t="s">
        <v>1072</v>
      </c>
      <c r="J906" s="49">
        <f t="shared" si="163"/>
        <v>2812700300</v>
      </c>
      <c r="K906" s="217">
        <f t="shared" si="164"/>
        <v>281.20999999999998</v>
      </c>
      <c r="L906" s="282">
        <v>210.35</v>
      </c>
      <c r="M906" s="282">
        <f t="shared" si="161"/>
        <v>210.91</v>
      </c>
      <c r="N906" s="282">
        <f t="shared" si="165"/>
        <v>210.90749999999997</v>
      </c>
      <c r="O906" s="261"/>
      <c r="P906" s="261"/>
      <c r="Q906" s="345">
        <v>2813910010</v>
      </c>
      <c r="R906" s="49" t="s">
        <v>1531</v>
      </c>
      <c r="S906" s="349">
        <v>35.83</v>
      </c>
    </row>
    <row r="907" spans="2:19">
      <c r="B907" s="215">
        <v>2812700400</v>
      </c>
      <c r="E907" s="216">
        <f t="shared" si="162"/>
        <v>271.40999999999997</v>
      </c>
      <c r="F907" s="216">
        <v>203.56</v>
      </c>
      <c r="G907" s="222" t="s">
        <v>1073</v>
      </c>
      <c r="J907" s="49">
        <f t="shared" si="163"/>
        <v>2812700400</v>
      </c>
      <c r="K907" s="217">
        <f t="shared" si="164"/>
        <v>271.40999999999997</v>
      </c>
      <c r="L907" s="282">
        <v>356.46</v>
      </c>
      <c r="M907" s="282">
        <f t="shared" si="161"/>
        <v>203.56</v>
      </c>
      <c r="N907" s="282">
        <f t="shared" si="165"/>
        <v>203.55749999999998</v>
      </c>
      <c r="O907" s="261"/>
      <c r="P907" s="261"/>
      <c r="Q907" s="345">
        <v>2813910011</v>
      </c>
      <c r="R907" s="49" t="s">
        <v>1532</v>
      </c>
      <c r="S907" s="349">
        <v>43.6</v>
      </c>
    </row>
    <row r="908" spans="2:19">
      <c r="B908" s="215">
        <v>2812700500</v>
      </c>
      <c r="E908" s="216">
        <f t="shared" si="162"/>
        <v>459.93</v>
      </c>
      <c r="F908" s="216">
        <v>344.95</v>
      </c>
      <c r="G908" s="222" t="s">
        <v>1074</v>
      </c>
      <c r="J908" s="49">
        <f t="shared" si="163"/>
        <v>2812700500</v>
      </c>
      <c r="K908" s="217">
        <f t="shared" si="164"/>
        <v>459.93</v>
      </c>
      <c r="L908" s="282">
        <v>175.82</v>
      </c>
      <c r="M908" s="282">
        <f t="shared" si="161"/>
        <v>344.95</v>
      </c>
      <c r="N908" s="282">
        <f t="shared" si="165"/>
        <v>344.94749999999999</v>
      </c>
      <c r="O908" s="261"/>
      <c r="P908" s="261"/>
      <c r="Q908" s="345">
        <v>2813910012</v>
      </c>
      <c r="R908" s="49" t="s">
        <v>1534</v>
      </c>
      <c r="S908" s="349">
        <v>35.83</v>
      </c>
    </row>
    <row r="909" spans="2:19">
      <c r="B909" s="215">
        <v>2812700600</v>
      </c>
      <c r="E909" s="216">
        <f t="shared" si="162"/>
        <v>226.87</v>
      </c>
      <c r="F909" s="216">
        <v>170.15</v>
      </c>
      <c r="G909" s="222" t="s">
        <v>1075</v>
      </c>
      <c r="J909" s="49">
        <f t="shared" si="163"/>
        <v>2812700600</v>
      </c>
      <c r="K909" s="217">
        <f t="shared" si="164"/>
        <v>226.87</v>
      </c>
      <c r="L909" s="282">
        <v>260.70999999999998</v>
      </c>
      <c r="M909" s="282">
        <f t="shared" si="161"/>
        <v>170.15</v>
      </c>
      <c r="N909" s="282">
        <f t="shared" si="165"/>
        <v>170.1525</v>
      </c>
      <c r="O909" s="261"/>
      <c r="P909" s="261"/>
      <c r="Q909" s="345">
        <v>2813910013</v>
      </c>
      <c r="R909" s="49" t="s">
        <v>1536</v>
      </c>
      <c r="S909" s="349">
        <v>35.83</v>
      </c>
    </row>
    <row r="910" spans="2:19">
      <c r="B910" s="215">
        <v>2812702220</v>
      </c>
      <c r="E910" s="216">
        <f t="shared" si="162"/>
        <v>336.39</v>
      </c>
      <c r="F910" s="216">
        <v>252.29</v>
      </c>
      <c r="G910" s="222" t="s">
        <v>1076</v>
      </c>
      <c r="J910" s="49">
        <f t="shared" si="163"/>
        <v>2812702220</v>
      </c>
      <c r="K910" s="217">
        <f t="shared" si="164"/>
        <v>336.39</v>
      </c>
      <c r="L910" s="282">
        <v>1540.82</v>
      </c>
      <c r="M910" s="282">
        <f t="shared" si="161"/>
        <v>252.29</v>
      </c>
      <c r="N910" s="282">
        <f t="shared" si="165"/>
        <v>252.29249999999999</v>
      </c>
      <c r="O910" s="261"/>
      <c r="P910" s="261"/>
      <c r="Q910" s="345">
        <v>2813910014</v>
      </c>
      <c r="R910" s="49" t="s">
        <v>1537</v>
      </c>
      <c r="S910" s="349">
        <v>35.83</v>
      </c>
    </row>
    <row r="911" spans="2:19">
      <c r="B911" s="215">
        <v>2812702800</v>
      </c>
      <c r="E911" s="216">
        <f t="shared" si="162"/>
        <v>2054.4299999999998</v>
      </c>
      <c r="F911" s="216">
        <v>1540.82</v>
      </c>
      <c r="G911" s="222" t="s">
        <v>1077</v>
      </c>
      <c r="J911" s="49">
        <f t="shared" si="163"/>
        <v>2812702800</v>
      </c>
      <c r="K911" s="217">
        <f t="shared" si="164"/>
        <v>2054.4299999999998</v>
      </c>
      <c r="L911" s="282">
        <v>1272.96</v>
      </c>
      <c r="M911" s="282">
        <f t="shared" si="161"/>
        <v>1540.82</v>
      </c>
      <c r="N911" s="282">
        <f t="shared" si="165"/>
        <v>1540.8224999999998</v>
      </c>
      <c r="O911" s="261"/>
      <c r="P911" s="261"/>
      <c r="Q911" s="345">
        <v>2813910015</v>
      </c>
      <c r="R911" s="49" t="s">
        <v>1538</v>
      </c>
      <c r="S911" s="349">
        <v>35.83</v>
      </c>
    </row>
    <row r="912" spans="2:19">
      <c r="B912" s="215">
        <v>2812705100</v>
      </c>
      <c r="E912" s="216">
        <f t="shared" si="162"/>
        <v>1642.43</v>
      </c>
      <c r="F912" s="216">
        <v>1231.82</v>
      </c>
      <c r="G912" s="222" t="s">
        <v>1078</v>
      </c>
      <c r="J912" s="49">
        <f t="shared" si="163"/>
        <v>2812705100</v>
      </c>
      <c r="K912" s="217">
        <f t="shared" si="164"/>
        <v>1642.43</v>
      </c>
      <c r="L912" s="282">
        <v>385.28</v>
      </c>
      <c r="M912" s="282">
        <f t="shared" si="161"/>
        <v>1231.82</v>
      </c>
      <c r="N912" s="282">
        <f t="shared" si="165"/>
        <v>1231.8225</v>
      </c>
      <c r="O912" s="261"/>
      <c r="P912" s="261"/>
      <c r="Q912" s="345">
        <v>2813910016</v>
      </c>
      <c r="R912" s="49" t="s">
        <v>1539</v>
      </c>
      <c r="S912" s="349">
        <v>35.83</v>
      </c>
    </row>
    <row r="913" spans="2:19">
      <c r="B913" s="215">
        <v>2812705400</v>
      </c>
      <c r="E913" s="216">
        <f t="shared" si="162"/>
        <v>497.11</v>
      </c>
      <c r="F913" s="216">
        <v>372.83</v>
      </c>
      <c r="G913" s="222" t="s">
        <v>1079</v>
      </c>
      <c r="J913" s="49">
        <f t="shared" si="163"/>
        <v>2812705400</v>
      </c>
      <c r="K913" s="217">
        <f t="shared" si="164"/>
        <v>497.11</v>
      </c>
      <c r="L913" s="282">
        <v>294.66000000000003</v>
      </c>
      <c r="M913" s="282">
        <f t="shared" si="161"/>
        <v>372.83</v>
      </c>
      <c r="N913" s="282">
        <f t="shared" si="165"/>
        <v>372.83249999999998</v>
      </c>
      <c r="O913" s="261"/>
      <c r="P913" s="261"/>
      <c r="Q913" s="345">
        <v>2813910017</v>
      </c>
      <c r="R913" s="49" t="s">
        <v>1540</v>
      </c>
      <c r="S913" s="349">
        <v>35.83</v>
      </c>
    </row>
    <row r="914" spans="2:19">
      <c r="B914" s="215">
        <v>2812706510</v>
      </c>
      <c r="E914" s="216">
        <f t="shared" si="162"/>
        <v>380.2</v>
      </c>
      <c r="F914" s="216">
        <v>285.14999999999998</v>
      </c>
      <c r="G914" s="222" t="s">
        <v>1080</v>
      </c>
      <c r="J914" s="49">
        <f t="shared" ref="J914:J937" si="166">B914*$K$13</f>
        <v>2812706510</v>
      </c>
      <c r="K914" s="217">
        <f t="shared" ref="K914:K937" si="167">VLOOKUP(J914,$Q$14:$S$1164,3,FALSE)</f>
        <v>380.2</v>
      </c>
      <c r="L914" s="282">
        <v>341.7</v>
      </c>
      <c r="M914" s="282">
        <f t="shared" si="161"/>
        <v>285.14999999999998</v>
      </c>
      <c r="N914" s="282">
        <f t="shared" ref="N914:N937" si="168">K914*$N$13</f>
        <v>285.14999999999998</v>
      </c>
      <c r="O914" s="261"/>
      <c r="P914" s="261"/>
      <c r="Q914" s="345">
        <v>2813910018</v>
      </c>
      <c r="R914" s="49" t="s">
        <v>1541</v>
      </c>
      <c r="S914" s="349">
        <v>54.94</v>
      </c>
    </row>
    <row r="915" spans="2:19">
      <c r="B915" s="215">
        <v>2812710900</v>
      </c>
      <c r="E915" s="216">
        <f t="shared" si="162"/>
        <v>440.88</v>
      </c>
      <c r="F915" s="216">
        <v>330.66</v>
      </c>
      <c r="G915" s="222" t="s">
        <v>1081</v>
      </c>
      <c r="J915" s="49">
        <f t="shared" si="166"/>
        <v>2812710900</v>
      </c>
      <c r="K915" s="217">
        <f t="shared" si="167"/>
        <v>440.88</v>
      </c>
      <c r="L915" s="282">
        <v>268.60000000000002</v>
      </c>
      <c r="M915" s="282">
        <f t="shared" si="161"/>
        <v>330.66</v>
      </c>
      <c r="N915" s="282">
        <f t="shared" si="168"/>
        <v>330.65999999999997</v>
      </c>
      <c r="O915" s="261"/>
      <c r="P915" s="261"/>
      <c r="Q915" s="345">
        <v>2813910019</v>
      </c>
      <c r="R915" s="49" t="s">
        <v>1542</v>
      </c>
      <c r="S915" s="349">
        <v>54.94</v>
      </c>
    </row>
    <row r="916" spans="2:19">
      <c r="B916" s="215">
        <v>2812712220</v>
      </c>
      <c r="E916" s="216">
        <f t="shared" si="162"/>
        <v>385.90999999999997</v>
      </c>
      <c r="F916" s="216">
        <v>289.43</v>
      </c>
      <c r="G916" s="222" t="s">
        <v>1082</v>
      </c>
      <c r="J916" s="49">
        <f t="shared" si="166"/>
        <v>2812712220</v>
      </c>
      <c r="K916" s="217">
        <f t="shared" si="167"/>
        <v>385.90999999999997</v>
      </c>
      <c r="L916" s="282">
        <v>619.57000000000005</v>
      </c>
      <c r="M916" s="282">
        <f t="shared" si="161"/>
        <v>289.43</v>
      </c>
      <c r="N916" s="282">
        <f t="shared" si="168"/>
        <v>289.4325</v>
      </c>
      <c r="O916" s="261"/>
      <c r="P916" s="261"/>
      <c r="Q916" s="345">
        <v>2813910020</v>
      </c>
      <c r="R916" s="49" t="s">
        <v>1543</v>
      </c>
      <c r="S916" s="349">
        <v>66.84</v>
      </c>
    </row>
    <row r="917" spans="2:19">
      <c r="B917" s="215">
        <v>2812715400</v>
      </c>
      <c r="E917" s="216">
        <f t="shared" si="162"/>
        <v>799.41</v>
      </c>
      <c r="F917" s="216">
        <v>599.55999999999995</v>
      </c>
      <c r="G917" s="222" t="s">
        <v>1747</v>
      </c>
      <c r="J917" s="49">
        <f t="shared" si="166"/>
        <v>2812715400</v>
      </c>
      <c r="K917" s="217">
        <f t="shared" si="167"/>
        <v>799.41</v>
      </c>
      <c r="L917" s="282">
        <v>195.93</v>
      </c>
      <c r="M917" s="282">
        <f t="shared" si="161"/>
        <v>599.55999999999995</v>
      </c>
      <c r="N917" s="282">
        <f t="shared" si="168"/>
        <v>599.5575</v>
      </c>
      <c r="O917" s="261"/>
      <c r="P917" s="261"/>
      <c r="Q917" s="345">
        <v>2813910021</v>
      </c>
      <c r="R917" s="49" t="s">
        <v>1544</v>
      </c>
      <c r="S917" s="349">
        <v>54.94</v>
      </c>
    </row>
    <row r="918" spans="2:19">
      <c r="B918" s="215">
        <v>2812741000</v>
      </c>
      <c r="E918" s="216">
        <f t="shared" si="162"/>
        <v>266.93</v>
      </c>
      <c r="F918" s="216">
        <v>200.2</v>
      </c>
      <c r="G918" s="222" t="s">
        <v>1084</v>
      </c>
      <c r="J918" s="49">
        <f t="shared" si="166"/>
        <v>2812741000</v>
      </c>
      <c r="K918" s="217">
        <f t="shared" si="167"/>
        <v>266.93</v>
      </c>
      <c r="L918" s="282">
        <v>373.43</v>
      </c>
      <c r="M918" s="282">
        <f t="shared" si="161"/>
        <v>200.2</v>
      </c>
      <c r="N918" s="282">
        <f t="shared" si="168"/>
        <v>200.19749999999999</v>
      </c>
      <c r="O918" s="261"/>
      <c r="P918" s="261"/>
      <c r="Q918" s="345">
        <v>2813910022</v>
      </c>
      <c r="R918" s="49" t="s">
        <v>1545</v>
      </c>
      <c r="S918" s="349">
        <v>54.919999999999995</v>
      </c>
    </row>
    <row r="919" spans="2:19">
      <c r="B919" s="215">
        <v>2812760700</v>
      </c>
      <c r="E919" s="216">
        <f t="shared" si="162"/>
        <v>481.82</v>
      </c>
      <c r="F919" s="216">
        <v>361.37</v>
      </c>
      <c r="G919" s="222" t="s">
        <v>1085</v>
      </c>
      <c r="J919" s="49">
        <f t="shared" si="166"/>
        <v>2812760700</v>
      </c>
      <c r="K919" s="217">
        <f t="shared" si="167"/>
        <v>481.82</v>
      </c>
      <c r="L919" s="282">
        <v>166.73</v>
      </c>
      <c r="M919" s="282">
        <f t="shared" si="161"/>
        <v>361.37</v>
      </c>
      <c r="N919" s="282">
        <f t="shared" si="168"/>
        <v>361.36500000000001</v>
      </c>
      <c r="O919" s="261"/>
      <c r="P919" s="261"/>
      <c r="Q919" s="345">
        <v>2813910023</v>
      </c>
      <c r="R919" s="49" t="s">
        <v>1546</v>
      </c>
      <c r="S919" s="349">
        <v>54.94</v>
      </c>
    </row>
    <row r="920" spans="2:19">
      <c r="B920" s="215">
        <v>2812762100</v>
      </c>
      <c r="E920" s="216">
        <f t="shared" si="162"/>
        <v>215.14999999999998</v>
      </c>
      <c r="F920" s="216">
        <v>161.36000000000001</v>
      </c>
      <c r="G920" s="222" t="s">
        <v>1086</v>
      </c>
      <c r="J920" s="49">
        <f t="shared" si="166"/>
        <v>2812762100</v>
      </c>
      <c r="K920" s="217">
        <f t="shared" si="167"/>
        <v>215.14999999999998</v>
      </c>
      <c r="L920" s="282">
        <v>492.76</v>
      </c>
      <c r="M920" s="282">
        <f t="shared" si="161"/>
        <v>161.36000000000001</v>
      </c>
      <c r="N920" s="282">
        <f t="shared" si="168"/>
        <v>161.36249999999998</v>
      </c>
      <c r="O920" s="261"/>
      <c r="P920" s="261"/>
      <c r="Q920" s="345">
        <v>2813910024</v>
      </c>
      <c r="R920" s="49" t="s">
        <v>1547</v>
      </c>
      <c r="S920" s="349">
        <v>54.919999999999995</v>
      </c>
    </row>
    <row r="921" spans="2:19">
      <c r="B921" s="215">
        <v>2812771800</v>
      </c>
      <c r="E921" s="216">
        <f t="shared" si="162"/>
        <v>635.79</v>
      </c>
      <c r="F921" s="216">
        <v>476.84</v>
      </c>
      <c r="G921" s="222" t="s">
        <v>1087</v>
      </c>
      <c r="J921" s="49">
        <f t="shared" si="166"/>
        <v>2812771800</v>
      </c>
      <c r="K921" s="217">
        <f t="shared" si="167"/>
        <v>635.79</v>
      </c>
      <c r="L921" s="282">
        <v>879.06</v>
      </c>
      <c r="M921" s="282">
        <f t="shared" si="161"/>
        <v>476.84</v>
      </c>
      <c r="N921" s="282">
        <f t="shared" si="168"/>
        <v>476.84249999999997</v>
      </c>
      <c r="O921" s="261"/>
      <c r="P921" s="261"/>
      <c r="Q921" s="345">
        <v>2813910025</v>
      </c>
      <c r="R921" s="49" t="s">
        <v>1548</v>
      </c>
      <c r="S921" s="349">
        <v>54.94</v>
      </c>
    </row>
    <row r="922" spans="2:19">
      <c r="B922" s="215">
        <v>2812800000</v>
      </c>
      <c r="E922" s="216">
        <f t="shared" si="162"/>
        <v>1289.29</v>
      </c>
      <c r="F922" s="216">
        <v>966.97</v>
      </c>
      <c r="G922" s="222" t="s">
        <v>1748</v>
      </c>
      <c r="J922" s="49">
        <f t="shared" si="166"/>
        <v>2812800000</v>
      </c>
      <c r="K922" s="217">
        <f t="shared" si="167"/>
        <v>1289.29</v>
      </c>
      <c r="L922" s="282">
        <v>213.58</v>
      </c>
      <c r="M922" s="282">
        <f t="shared" si="161"/>
        <v>966.97</v>
      </c>
      <c r="N922" s="282">
        <f t="shared" si="168"/>
        <v>966.96749999999997</v>
      </c>
      <c r="O922" s="261"/>
      <c r="P922" s="261"/>
      <c r="Q922" s="345">
        <v>2813910026</v>
      </c>
      <c r="R922" s="49" t="s">
        <v>1549</v>
      </c>
      <c r="S922" s="349">
        <v>54.94</v>
      </c>
    </row>
    <row r="923" spans="2:19">
      <c r="B923" s="215">
        <v>2812800200</v>
      </c>
      <c r="E923" s="216">
        <f t="shared" si="162"/>
        <v>275.57</v>
      </c>
      <c r="F923" s="216">
        <v>206.68</v>
      </c>
      <c r="G923" s="222" t="s">
        <v>1089</v>
      </c>
      <c r="J923" s="49">
        <f t="shared" si="166"/>
        <v>2812800200</v>
      </c>
      <c r="K923" s="217">
        <f t="shared" si="167"/>
        <v>275.57</v>
      </c>
      <c r="L923" s="282">
        <v>294.14999999999998</v>
      </c>
      <c r="M923" s="282">
        <f t="shared" si="161"/>
        <v>206.68</v>
      </c>
      <c r="N923" s="282">
        <f t="shared" si="168"/>
        <v>206.67750000000001</v>
      </c>
      <c r="O923" s="261"/>
      <c r="P923" s="261"/>
      <c r="Q923" s="345">
        <v>2813910027</v>
      </c>
      <c r="R923" s="49" t="s">
        <v>1550</v>
      </c>
      <c r="S923" s="349">
        <v>7.13</v>
      </c>
    </row>
    <row r="924" spans="2:19">
      <c r="B924" s="215">
        <v>2812800300</v>
      </c>
      <c r="E924" s="216">
        <f t="shared" si="162"/>
        <v>379.53</v>
      </c>
      <c r="F924" s="216">
        <v>284.64999999999998</v>
      </c>
      <c r="G924" s="222" t="s">
        <v>1090</v>
      </c>
      <c r="J924" s="49">
        <f t="shared" si="166"/>
        <v>2812800300</v>
      </c>
      <c r="K924" s="217">
        <f t="shared" si="167"/>
        <v>379.53</v>
      </c>
      <c r="L924" s="282">
        <v>283.63</v>
      </c>
      <c r="M924" s="282">
        <f t="shared" si="161"/>
        <v>284.64999999999998</v>
      </c>
      <c r="N924" s="282">
        <f t="shared" si="168"/>
        <v>284.64749999999998</v>
      </c>
      <c r="O924" s="261"/>
      <c r="P924" s="261"/>
      <c r="Q924" s="345">
        <v>2813910028</v>
      </c>
      <c r="R924" s="49" t="s">
        <v>1551</v>
      </c>
      <c r="S924" s="349">
        <v>7.13</v>
      </c>
    </row>
    <row r="925" spans="2:19">
      <c r="B925" s="215">
        <v>2812800400</v>
      </c>
      <c r="E925" s="216">
        <f t="shared" si="162"/>
        <v>365.95</v>
      </c>
      <c r="F925" s="216">
        <v>274.45999999999998</v>
      </c>
      <c r="G925" s="222" t="s">
        <v>1091</v>
      </c>
      <c r="J925" s="49">
        <f t="shared" si="166"/>
        <v>2812800400</v>
      </c>
      <c r="K925" s="217">
        <f t="shared" si="167"/>
        <v>365.95</v>
      </c>
      <c r="L925" s="282">
        <v>526.91</v>
      </c>
      <c r="M925" s="282">
        <f t="shared" si="161"/>
        <v>274.45999999999998</v>
      </c>
      <c r="N925" s="282">
        <f t="shared" si="168"/>
        <v>274.46249999999998</v>
      </c>
      <c r="O925" s="261"/>
      <c r="P925" s="261"/>
      <c r="Q925" s="345">
        <v>2813910029</v>
      </c>
      <c r="R925" s="49" t="s">
        <v>1552</v>
      </c>
      <c r="S925" s="349">
        <v>7.29</v>
      </c>
    </row>
    <row r="926" spans="2:19">
      <c r="B926" s="215">
        <v>2812800500</v>
      </c>
      <c r="E926" s="216">
        <f t="shared" si="162"/>
        <v>679.85</v>
      </c>
      <c r="F926" s="216">
        <v>509.89</v>
      </c>
      <c r="G926" s="222" t="s">
        <v>1092</v>
      </c>
      <c r="J926" s="49">
        <f t="shared" si="166"/>
        <v>2812800500</v>
      </c>
      <c r="K926" s="217">
        <f t="shared" si="167"/>
        <v>679.85</v>
      </c>
      <c r="L926" s="282">
        <v>213.58</v>
      </c>
      <c r="M926" s="282">
        <f t="shared" si="161"/>
        <v>509.89</v>
      </c>
      <c r="N926" s="282">
        <f t="shared" si="168"/>
        <v>509.88750000000005</v>
      </c>
      <c r="O926" s="261"/>
      <c r="P926" s="261"/>
      <c r="Q926" s="345">
        <v>2813910030</v>
      </c>
      <c r="R926" s="49" t="s">
        <v>1553</v>
      </c>
      <c r="S926" s="349">
        <v>7.12</v>
      </c>
    </row>
    <row r="927" spans="2:19">
      <c r="B927" s="215">
        <v>2812800600</v>
      </c>
      <c r="E927" s="216">
        <f t="shared" si="162"/>
        <v>275.57</v>
      </c>
      <c r="F927" s="216">
        <v>206.68</v>
      </c>
      <c r="G927" s="222" t="s">
        <v>1093</v>
      </c>
      <c r="J927" s="49">
        <f t="shared" si="166"/>
        <v>2812800600</v>
      </c>
      <c r="K927" s="217">
        <f t="shared" si="167"/>
        <v>275.57</v>
      </c>
      <c r="L927" s="282">
        <v>1780.54</v>
      </c>
      <c r="M927" s="282">
        <f t="shared" si="161"/>
        <v>206.68</v>
      </c>
      <c r="N927" s="282">
        <f t="shared" si="168"/>
        <v>206.67750000000001</v>
      </c>
      <c r="O927" s="261"/>
      <c r="P927" s="261"/>
      <c r="Q927" s="345">
        <v>2813910031</v>
      </c>
      <c r="R927" s="49" t="s">
        <v>1554</v>
      </c>
      <c r="S927" s="349">
        <v>7.35</v>
      </c>
    </row>
    <row r="928" spans="2:19">
      <c r="B928" s="215">
        <v>2812802800</v>
      </c>
      <c r="E928" s="216">
        <f t="shared" si="162"/>
        <v>2374.0600000000004</v>
      </c>
      <c r="F928" s="216">
        <v>1780.55</v>
      </c>
      <c r="G928" s="222" t="s">
        <v>1094</v>
      </c>
      <c r="J928" s="49">
        <f t="shared" si="166"/>
        <v>2812802800</v>
      </c>
      <c r="K928" s="217">
        <f t="shared" si="167"/>
        <v>2374.0600000000004</v>
      </c>
      <c r="L928" s="282">
        <v>2369.15</v>
      </c>
      <c r="M928" s="282">
        <f t="shared" ref="M928:M937" si="169">ROUND(N928,2)</f>
        <v>1780.55</v>
      </c>
      <c r="N928" s="282">
        <f t="shared" si="168"/>
        <v>1780.5450000000003</v>
      </c>
      <c r="O928" s="261"/>
      <c r="P928" s="261"/>
      <c r="Q928" s="345">
        <v>2813910032</v>
      </c>
      <c r="R928" s="49" t="s">
        <v>1555</v>
      </c>
      <c r="S928" s="349">
        <v>7.5299999999999994</v>
      </c>
    </row>
    <row r="929" spans="2:19">
      <c r="B929" s="215">
        <v>2812805100</v>
      </c>
      <c r="E929" s="216">
        <f t="shared" si="162"/>
        <v>3056.78</v>
      </c>
      <c r="F929" s="216">
        <v>2292.59</v>
      </c>
      <c r="G929" s="222" t="s">
        <v>1095</v>
      </c>
      <c r="J929" s="49">
        <f t="shared" si="166"/>
        <v>2812805100</v>
      </c>
      <c r="K929" s="217">
        <f t="shared" si="167"/>
        <v>3056.78</v>
      </c>
      <c r="L929" s="282">
        <v>464.04</v>
      </c>
      <c r="M929" s="282">
        <f t="shared" si="169"/>
        <v>2292.59</v>
      </c>
      <c r="N929" s="282">
        <f t="shared" si="168"/>
        <v>2292.585</v>
      </c>
      <c r="O929" s="261"/>
      <c r="P929" s="261"/>
      <c r="Q929" s="345">
        <v>2813910033</v>
      </c>
      <c r="R929" s="49" t="s">
        <v>1556</v>
      </c>
      <c r="S929" s="349">
        <v>7.66</v>
      </c>
    </row>
    <row r="930" spans="2:19">
      <c r="B930" s="215">
        <v>2812806510</v>
      </c>
      <c r="E930" s="216">
        <f t="shared" si="162"/>
        <v>598.75</v>
      </c>
      <c r="F930" s="216">
        <v>449.06</v>
      </c>
      <c r="G930" s="222" t="s">
        <v>1096</v>
      </c>
      <c r="J930" s="49">
        <f t="shared" si="166"/>
        <v>2812806510</v>
      </c>
      <c r="K930" s="217">
        <f t="shared" si="167"/>
        <v>598.75</v>
      </c>
      <c r="L930" s="282">
        <v>415.12</v>
      </c>
      <c r="M930" s="282">
        <f t="shared" si="169"/>
        <v>449.06</v>
      </c>
      <c r="N930" s="282">
        <f t="shared" si="168"/>
        <v>449.0625</v>
      </c>
      <c r="O930" s="261"/>
      <c r="P930" s="261"/>
      <c r="Q930" s="345">
        <v>2813910034</v>
      </c>
      <c r="R930" s="49" t="s">
        <v>1557</v>
      </c>
      <c r="S930" s="349">
        <v>7.6499999999999995</v>
      </c>
    </row>
    <row r="931" spans="2:19">
      <c r="B931" s="215">
        <v>2812810900</v>
      </c>
      <c r="E931" s="216">
        <f t="shared" si="162"/>
        <v>535.62</v>
      </c>
      <c r="F931" s="216">
        <v>401.72</v>
      </c>
      <c r="G931" s="222" t="s">
        <v>1097</v>
      </c>
      <c r="J931" s="49">
        <f t="shared" si="166"/>
        <v>2812810900</v>
      </c>
      <c r="K931" s="217">
        <f t="shared" si="167"/>
        <v>535.62</v>
      </c>
      <c r="L931" s="282">
        <v>296.08999999999997</v>
      </c>
      <c r="M931" s="282">
        <f t="shared" si="169"/>
        <v>401.72</v>
      </c>
      <c r="N931" s="282">
        <f t="shared" si="168"/>
        <v>401.71500000000003</v>
      </c>
      <c r="O931" s="261"/>
      <c r="P931" s="261"/>
      <c r="Q931" s="345">
        <v>2813910035</v>
      </c>
      <c r="R931" s="49" t="s">
        <v>1558</v>
      </c>
      <c r="S931" s="349">
        <v>8.6</v>
      </c>
    </row>
    <row r="932" spans="2:19">
      <c r="B932" s="215">
        <v>2812812220</v>
      </c>
      <c r="E932" s="216">
        <f t="shared" si="162"/>
        <v>425.38</v>
      </c>
      <c r="F932" s="216">
        <v>319.04000000000002</v>
      </c>
      <c r="G932" s="222" t="s">
        <v>1098</v>
      </c>
      <c r="J932" s="49">
        <f t="shared" si="166"/>
        <v>2812812220</v>
      </c>
      <c r="K932" s="217">
        <f t="shared" si="167"/>
        <v>425.38</v>
      </c>
      <c r="L932" s="282">
        <v>615.29</v>
      </c>
      <c r="M932" s="282">
        <f t="shared" si="169"/>
        <v>319.04000000000002</v>
      </c>
      <c r="N932" s="282">
        <f t="shared" si="168"/>
        <v>319.03499999999997</v>
      </c>
      <c r="O932" s="261"/>
      <c r="P932" s="261"/>
      <c r="Q932" s="345">
        <v>2813910036</v>
      </c>
      <c r="R932" s="49" t="s">
        <v>1559</v>
      </c>
      <c r="S932" s="349">
        <v>26.990000000000002</v>
      </c>
    </row>
    <row r="933" spans="2:19">
      <c r="B933" s="215">
        <v>2812815400</v>
      </c>
      <c r="E933" s="216">
        <f t="shared" si="162"/>
        <v>793.87</v>
      </c>
      <c r="F933" s="216">
        <v>595.4</v>
      </c>
      <c r="G933" s="222" t="s">
        <v>1099</v>
      </c>
      <c r="J933" s="49">
        <f t="shared" si="166"/>
        <v>2812815400</v>
      </c>
      <c r="K933" s="217">
        <f t="shared" si="167"/>
        <v>793.87</v>
      </c>
      <c r="L933" s="282">
        <v>222.5</v>
      </c>
      <c r="M933" s="282">
        <f t="shared" si="169"/>
        <v>595.4</v>
      </c>
      <c r="N933" s="282">
        <f t="shared" si="168"/>
        <v>595.40250000000003</v>
      </c>
      <c r="O933" s="261"/>
      <c r="P933" s="261"/>
      <c r="Q933" s="345">
        <v>2813910037</v>
      </c>
      <c r="R933" s="49" t="s">
        <v>1560</v>
      </c>
      <c r="S933" s="349">
        <v>37.65</v>
      </c>
    </row>
    <row r="934" spans="2:19">
      <c r="B934" s="215">
        <v>2812851000</v>
      </c>
      <c r="E934" s="216">
        <f t="shared" si="162"/>
        <v>303.13</v>
      </c>
      <c r="F934" s="216">
        <v>227.35</v>
      </c>
      <c r="G934" s="222" t="s">
        <v>1100</v>
      </c>
      <c r="J934" s="49">
        <f t="shared" si="166"/>
        <v>2812851000</v>
      </c>
      <c r="K934" s="217">
        <f t="shared" si="167"/>
        <v>303.13</v>
      </c>
      <c r="L934" s="282">
        <v>454.27</v>
      </c>
      <c r="M934" s="282">
        <f t="shared" si="169"/>
        <v>227.35</v>
      </c>
      <c r="N934" s="282">
        <f t="shared" si="168"/>
        <v>227.3475</v>
      </c>
      <c r="O934" s="261"/>
      <c r="P934" s="261"/>
      <c r="Q934" s="345">
        <v>2813910038</v>
      </c>
      <c r="R934" s="49" t="s">
        <v>1561</v>
      </c>
      <c r="S934" s="349">
        <v>1.44</v>
      </c>
    </row>
    <row r="935" spans="2:19">
      <c r="B935" s="215">
        <v>2812870700</v>
      </c>
      <c r="E935" s="216">
        <f t="shared" si="162"/>
        <v>618.88</v>
      </c>
      <c r="F935" s="216">
        <v>464.16</v>
      </c>
      <c r="G935" s="222" t="s">
        <v>1101</v>
      </c>
      <c r="J935" s="49">
        <f t="shared" si="166"/>
        <v>2812870700</v>
      </c>
      <c r="K935" s="217">
        <f t="shared" si="167"/>
        <v>618.88</v>
      </c>
      <c r="L935" s="282">
        <v>186.86</v>
      </c>
      <c r="M935" s="282">
        <f t="shared" si="169"/>
        <v>464.16</v>
      </c>
      <c r="N935" s="282">
        <f t="shared" si="168"/>
        <v>464.15999999999997</v>
      </c>
      <c r="O935" s="261"/>
      <c r="P935" s="261"/>
      <c r="Q935" s="345">
        <v>2813910039</v>
      </c>
      <c r="R935" s="49" t="s">
        <v>1562</v>
      </c>
      <c r="S935" s="349">
        <v>1.44</v>
      </c>
    </row>
    <row r="936" spans="2:19">
      <c r="B936" s="215">
        <v>2812872100</v>
      </c>
      <c r="E936" s="216">
        <f t="shared" si="162"/>
        <v>241.10999999999999</v>
      </c>
      <c r="F936" s="216">
        <v>180.83</v>
      </c>
      <c r="G936" s="222" t="s">
        <v>1102</v>
      </c>
      <c r="J936" s="49">
        <f t="shared" si="166"/>
        <v>2812872100</v>
      </c>
      <c r="K936" s="217">
        <f t="shared" si="167"/>
        <v>241.10999999999999</v>
      </c>
      <c r="L936" s="282">
        <v>567.24</v>
      </c>
      <c r="M936" s="282">
        <f t="shared" si="169"/>
        <v>180.83</v>
      </c>
      <c r="N936" s="282">
        <f t="shared" si="168"/>
        <v>180.83249999999998</v>
      </c>
      <c r="O936" s="261"/>
      <c r="P936" s="261"/>
      <c r="Q936" s="345">
        <v>2813910040</v>
      </c>
      <c r="R936" s="49" t="s">
        <v>1563</v>
      </c>
      <c r="S936" s="349">
        <v>2.0999999999999996</v>
      </c>
    </row>
    <row r="937" spans="2:19">
      <c r="B937" s="215">
        <v>2812881800</v>
      </c>
      <c r="E937" s="216">
        <f t="shared" si="162"/>
        <v>731.9</v>
      </c>
      <c r="F937" s="216">
        <v>548.92999999999995</v>
      </c>
      <c r="G937" s="222" t="s">
        <v>1103</v>
      </c>
      <c r="J937" s="49">
        <f t="shared" si="166"/>
        <v>2812881800</v>
      </c>
      <c r="K937" s="217">
        <f t="shared" si="167"/>
        <v>731.9</v>
      </c>
      <c r="L937" s="282"/>
      <c r="M937" s="282">
        <f t="shared" si="169"/>
        <v>548.92999999999995</v>
      </c>
      <c r="N937" s="282">
        <f t="shared" si="168"/>
        <v>548.92499999999995</v>
      </c>
      <c r="O937" s="261"/>
      <c r="P937" s="261"/>
      <c r="Q937" s="345">
        <v>2813910041</v>
      </c>
      <c r="R937" s="49" t="s">
        <v>1564</v>
      </c>
      <c r="S937" s="349">
        <v>2.2199999999999998</v>
      </c>
    </row>
    <row r="938" spans="2:19">
      <c r="B938" s="215"/>
      <c r="E938" s="216"/>
      <c r="F938" s="216"/>
      <c r="G938" s="222"/>
      <c r="K938" s="217"/>
      <c r="M938" s="282"/>
      <c r="N938" s="282"/>
      <c r="O938" s="261"/>
      <c r="P938" s="261"/>
      <c r="Q938" s="345">
        <v>2813910042</v>
      </c>
      <c r="R938" s="49" t="s">
        <v>1565</v>
      </c>
      <c r="S938" s="349">
        <v>2.5499999999999998</v>
      </c>
    </row>
    <row r="939" spans="2:19">
      <c r="N939" s="277"/>
      <c r="O939" s="261"/>
      <c r="P939" s="261"/>
      <c r="Q939" s="345">
        <v>2813910043</v>
      </c>
      <c r="R939" s="49" t="s">
        <v>1566</v>
      </c>
      <c r="S939" s="349">
        <v>4.09</v>
      </c>
    </row>
    <row r="940" spans="2:19">
      <c r="B940" s="215"/>
      <c r="E940" s="216"/>
      <c r="F940" s="216"/>
      <c r="G940" s="222"/>
      <c r="J940" s="309">
        <v>2811646280</v>
      </c>
      <c r="K940" s="339">
        <v>106.82</v>
      </c>
      <c r="L940" s="217"/>
      <c r="N940" s="277"/>
      <c r="O940" s="261"/>
      <c r="P940" s="261"/>
      <c r="Q940" s="345">
        <v>2813910044</v>
      </c>
      <c r="R940" s="49" t="s">
        <v>1567</v>
      </c>
      <c r="S940" s="349">
        <v>2.4899999999999998</v>
      </c>
    </row>
    <row r="941" spans="2:19">
      <c r="J941" s="309">
        <v>2811746280</v>
      </c>
      <c r="K941" s="339">
        <v>157.06</v>
      </c>
      <c r="M941" s="217"/>
      <c r="N941" s="277"/>
      <c r="O941" s="261"/>
      <c r="P941" s="261"/>
      <c r="Q941" s="345">
        <v>2813910045</v>
      </c>
      <c r="R941" s="49" t="s">
        <v>1569</v>
      </c>
      <c r="S941" s="349">
        <v>3.17</v>
      </c>
    </row>
    <row r="942" spans="2:19">
      <c r="J942" s="309">
        <v>2811756280</v>
      </c>
      <c r="K942" s="339">
        <v>185.47</v>
      </c>
      <c r="N942" s="277"/>
      <c r="O942" s="261"/>
      <c r="P942" s="261"/>
      <c r="Q942" s="345">
        <v>2813910046</v>
      </c>
      <c r="R942" s="49" t="s">
        <v>1571</v>
      </c>
      <c r="S942" s="349">
        <v>4.04</v>
      </c>
    </row>
    <row r="943" spans="2:19">
      <c r="J943" s="206"/>
      <c r="N943" s="277"/>
      <c r="O943" s="261"/>
      <c r="P943" s="261"/>
      <c r="Q943" s="345">
        <v>2813910047</v>
      </c>
      <c r="R943" s="49" t="s">
        <v>1572</v>
      </c>
      <c r="S943" s="349">
        <v>0.41000000000000003</v>
      </c>
    </row>
    <row r="944" spans="2:19">
      <c r="J944" s="206"/>
      <c r="N944" s="277"/>
      <c r="O944" s="261"/>
      <c r="P944" s="261"/>
      <c r="Q944" s="345">
        <v>2813910048</v>
      </c>
      <c r="R944" s="49" t="s">
        <v>1573</v>
      </c>
      <c r="S944" s="349">
        <v>0.44</v>
      </c>
    </row>
    <row r="945" spans="10:19">
      <c r="J945" s="206"/>
      <c r="N945" s="277"/>
      <c r="O945" s="261"/>
      <c r="P945" s="261"/>
      <c r="Q945" s="345">
        <v>2813910049</v>
      </c>
      <c r="R945" s="49" t="s">
        <v>1574</v>
      </c>
      <c r="S945" s="349">
        <v>0.5</v>
      </c>
    </row>
    <row r="946" spans="10:19">
      <c r="J946" s="206"/>
      <c r="N946" s="277"/>
      <c r="O946" s="261"/>
      <c r="P946" s="261"/>
      <c r="Q946" s="345">
        <v>2813910050</v>
      </c>
      <c r="R946" s="49" t="s">
        <v>1575</v>
      </c>
      <c r="S946" s="349">
        <v>0.9</v>
      </c>
    </row>
    <row r="947" spans="10:19">
      <c r="J947" s="206"/>
      <c r="N947" s="277"/>
      <c r="O947" s="261"/>
      <c r="P947" s="261"/>
      <c r="Q947" s="345">
        <v>2813910051</v>
      </c>
      <c r="R947" s="49" t="s">
        <v>1576</v>
      </c>
      <c r="S947" s="349">
        <v>0.94</v>
      </c>
    </row>
    <row r="948" spans="10:19">
      <c r="J948" s="206"/>
      <c r="N948" s="277"/>
      <c r="O948" s="261"/>
      <c r="P948" s="261"/>
      <c r="Q948" s="345">
        <v>2813910052</v>
      </c>
      <c r="R948" s="49" t="s">
        <v>1577</v>
      </c>
      <c r="S948" s="349">
        <v>0.97</v>
      </c>
    </row>
    <row r="949" spans="10:19">
      <c r="N949" s="277"/>
      <c r="O949" s="261"/>
      <c r="P949" s="261"/>
      <c r="Q949" s="345">
        <v>2813910053</v>
      </c>
      <c r="R949" s="49" t="s">
        <v>1578</v>
      </c>
      <c r="S949" s="349">
        <v>1.03</v>
      </c>
    </row>
    <row r="950" spans="10:19">
      <c r="N950" s="277"/>
      <c r="O950" s="261"/>
      <c r="P950" s="261"/>
      <c r="Q950" s="345">
        <v>2813910054</v>
      </c>
      <c r="R950" s="49" t="s">
        <v>1579</v>
      </c>
      <c r="S950" s="349">
        <v>2.19</v>
      </c>
    </row>
    <row r="951" spans="10:19">
      <c r="N951" s="277"/>
      <c r="O951" s="261"/>
      <c r="P951" s="261"/>
      <c r="Q951" s="345">
        <v>2813910055</v>
      </c>
      <c r="R951" s="49" t="s">
        <v>1580</v>
      </c>
      <c r="S951" s="349">
        <v>3.84</v>
      </c>
    </row>
    <row r="952" spans="10:19">
      <c r="N952" s="277"/>
      <c r="O952" s="261"/>
      <c r="P952" s="261"/>
      <c r="Q952" s="345">
        <v>2813910056</v>
      </c>
      <c r="R952" s="49" t="s">
        <v>1581</v>
      </c>
      <c r="S952" s="349">
        <v>2.4299999999999997</v>
      </c>
    </row>
    <row r="953" spans="10:19">
      <c r="N953" s="277"/>
      <c r="O953" s="261"/>
      <c r="P953" s="261"/>
      <c r="Q953" s="345">
        <v>2813910057</v>
      </c>
      <c r="R953" s="49" t="s">
        <v>1582</v>
      </c>
      <c r="S953" s="349">
        <v>2.63</v>
      </c>
    </row>
    <row r="954" spans="10:19">
      <c r="N954" s="277"/>
      <c r="O954" s="261"/>
      <c r="P954" s="261"/>
      <c r="Q954" s="345">
        <v>2813910058</v>
      </c>
      <c r="R954" s="49" t="s">
        <v>1583</v>
      </c>
      <c r="S954" s="349">
        <v>3.0399999999999996</v>
      </c>
    </row>
    <row r="955" spans="10:19">
      <c r="N955" s="277"/>
      <c r="O955" s="261"/>
      <c r="P955" s="261"/>
      <c r="Q955" s="345">
        <v>2813910059</v>
      </c>
      <c r="R955" s="49" t="s">
        <v>1584</v>
      </c>
      <c r="S955" s="349">
        <v>4.62</v>
      </c>
    </row>
    <row r="956" spans="10:19">
      <c r="N956" s="277"/>
      <c r="O956" s="261"/>
      <c r="P956" s="261"/>
      <c r="Q956" s="345">
        <v>2813910060</v>
      </c>
      <c r="R956" s="49" t="s">
        <v>1585</v>
      </c>
      <c r="S956" s="349">
        <v>5.05</v>
      </c>
    </row>
    <row r="957" spans="10:19">
      <c r="N957" s="277"/>
      <c r="O957" s="261"/>
      <c r="P957" s="261"/>
      <c r="Q957" s="345">
        <v>2813910061</v>
      </c>
      <c r="R957" s="49" t="s">
        <v>1586</v>
      </c>
      <c r="S957" s="349">
        <v>5.14</v>
      </c>
    </row>
    <row r="958" spans="10:19">
      <c r="N958" s="277"/>
      <c r="O958" s="261"/>
      <c r="P958" s="261"/>
      <c r="Q958" s="345">
        <v>2813910062</v>
      </c>
      <c r="R958" s="49" t="s">
        <v>1587</v>
      </c>
      <c r="S958" s="349">
        <v>3.51</v>
      </c>
    </row>
    <row r="959" spans="10:19">
      <c r="N959" s="277"/>
      <c r="O959" s="261"/>
      <c r="P959" s="261"/>
      <c r="Q959" s="345">
        <v>2813910063</v>
      </c>
      <c r="R959" s="49" t="s">
        <v>1588</v>
      </c>
      <c r="S959" s="349">
        <v>2.7399999999999998</v>
      </c>
    </row>
    <row r="960" spans="10:19">
      <c r="N960" s="277"/>
      <c r="O960" s="261"/>
      <c r="P960" s="261"/>
      <c r="Q960" s="345">
        <v>2813910064</v>
      </c>
      <c r="R960" s="49" t="s">
        <v>1589</v>
      </c>
      <c r="S960" s="349">
        <v>3.5599999999999996</v>
      </c>
    </row>
    <row r="961" spans="14:19">
      <c r="N961" s="277"/>
      <c r="O961" s="261"/>
      <c r="P961" s="261"/>
      <c r="Q961" s="345">
        <v>2813910065</v>
      </c>
      <c r="R961" s="49" t="s">
        <v>1590</v>
      </c>
      <c r="S961" s="349">
        <v>3.51</v>
      </c>
    </row>
    <row r="962" spans="14:19">
      <c r="N962" s="277"/>
      <c r="O962" s="261"/>
      <c r="P962" s="261"/>
      <c r="Q962" s="345">
        <v>2813910066</v>
      </c>
      <c r="R962" s="49" t="s">
        <v>1591</v>
      </c>
      <c r="S962" s="349">
        <v>6.9399999999999995</v>
      </c>
    </row>
    <row r="963" spans="14:19">
      <c r="N963" s="277"/>
      <c r="O963" s="261"/>
      <c r="P963" s="261"/>
      <c r="Q963" s="345">
        <v>2813910067</v>
      </c>
      <c r="R963" s="49" t="s">
        <v>1592</v>
      </c>
      <c r="S963" s="349">
        <v>6.3</v>
      </c>
    </row>
    <row r="964" spans="14:19">
      <c r="N964" s="277"/>
      <c r="O964" s="261"/>
      <c r="P964" s="261"/>
      <c r="Q964" s="345">
        <v>2813910068</v>
      </c>
      <c r="R964" s="49" t="s">
        <v>1593</v>
      </c>
      <c r="S964" s="349">
        <v>2.0299999999999998</v>
      </c>
    </row>
    <row r="965" spans="14:19">
      <c r="N965" s="277"/>
      <c r="O965" s="261"/>
      <c r="P965" s="261"/>
      <c r="Q965" s="345">
        <v>2813910069</v>
      </c>
      <c r="R965" s="49" t="s">
        <v>1594</v>
      </c>
      <c r="S965" s="349">
        <v>2.2599999999999998</v>
      </c>
    </row>
    <row r="966" spans="14:19">
      <c r="N966" s="277"/>
      <c r="O966" s="261"/>
      <c r="P966" s="261"/>
      <c r="Q966" s="345">
        <v>2813910070</v>
      </c>
      <c r="R966" s="49" t="s">
        <v>1595</v>
      </c>
      <c r="S966" s="349">
        <v>2.11</v>
      </c>
    </row>
    <row r="967" spans="14:19">
      <c r="N967" s="277"/>
      <c r="O967" s="261"/>
      <c r="P967" s="261"/>
      <c r="Q967" s="345">
        <v>2813910071</v>
      </c>
      <c r="R967" s="49" t="s">
        <v>1597</v>
      </c>
      <c r="S967" s="349">
        <v>1.88</v>
      </c>
    </row>
    <row r="968" spans="14:19">
      <c r="N968" s="277"/>
      <c r="O968" s="261"/>
      <c r="P968" s="261"/>
      <c r="Q968" s="345">
        <v>2813910072</v>
      </c>
      <c r="R968" s="49" t="s">
        <v>1599</v>
      </c>
      <c r="S968" s="349">
        <v>3.7199999999999998</v>
      </c>
    </row>
    <row r="969" spans="14:19">
      <c r="N969" s="277"/>
      <c r="O969" s="261"/>
      <c r="P969" s="261"/>
      <c r="Q969" s="345">
        <v>2813910073</v>
      </c>
      <c r="R969" s="49" t="s">
        <v>1600</v>
      </c>
      <c r="S969" s="349">
        <v>2.46</v>
      </c>
    </row>
    <row r="970" spans="14:19">
      <c r="N970" s="277"/>
      <c r="O970" s="261"/>
      <c r="P970" s="261"/>
      <c r="Q970" s="345">
        <v>2813910074</v>
      </c>
      <c r="R970" s="49" t="s">
        <v>1601</v>
      </c>
      <c r="S970" s="349">
        <v>3.11</v>
      </c>
    </row>
    <row r="971" spans="14:19">
      <c r="N971" s="277"/>
      <c r="O971" s="261"/>
      <c r="P971" s="261"/>
      <c r="Q971" s="345">
        <v>2813910075</v>
      </c>
      <c r="R971" s="49" t="s">
        <v>1602</v>
      </c>
      <c r="S971" s="349">
        <v>4.4000000000000004</v>
      </c>
    </row>
    <row r="972" spans="14:19">
      <c r="N972" s="277"/>
      <c r="O972" s="261"/>
      <c r="P972" s="261"/>
      <c r="Q972" s="345">
        <v>2813910076</v>
      </c>
      <c r="R972" s="49" t="s">
        <v>1603</v>
      </c>
      <c r="S972" s="349">
        <v>2.19</v>
      </c>
    </row>
    <row r="973" spans="14:19">
      <c r="N973" s="277"/>
      <c r="O973" s="261"/>
      <c r="P973" s="261"/>
      <c r="Q973" s="345">
        <v>2813910077</v>
      </c>
      <c r="R973" s="49" t="s">
        <v>1604</v>
      </c>
      <c r="S973" s="349">
        <v>2.73</v>
      </c>
    </row>
    <row r="974" spans="14:19">
      <c r="N974" s="277"/>
      <c r="O974" s="261"/>
      <c r="P974" s="261"/>
      <c r="Q974" s="345">
        <v>2813910078</v>
      </c>
      <c r="R974" s="49" t="s">
        <v>1605</v>
      </c>
      <c r="S974" s="349">
        <v>4.8</v>
      </c>
    </row>
    <row r="975" spans="14:19">
      <c r="N975" s="277"/>
      <c r="O975" s="261"/>
      <c r="P975" s="261"/>
      <c r="Q975" s="345">
        <v>2813910079</v>
      </c>
      <c r="R975" s="49" t="s">
        <v>1606</v>
      </c>
      <c r="S975" s="349">
        <v>3.6999999999999997</v>
      </c>
    </row>
    <row r="976" spans="14:19">
      <c r="N976" s="277"/>
      <c r="O976" s="261"/>
      <c r="P976" s="261"/>
      <c r="Q976" s="345">
        <v>2813910080</v>
      </c>
      <c r="R976" s="49" t="s">
        <v>1607</v>
      </c>
      <c r="S976" s="349">
        <v>5.59</v>
      </c>
    </row>
    <row r="977" spans="2:19">
      <c r="N977" s="277"/>
      <c r="O977" s="261"/>
      <c r="P977" s="261"/>
      <c r="Q977" s="345">
        <v>2813910081</v>
      </c>
      <c r="R977" s="49" t="s">
        <v>1608</v>
      </c>
      <c r="S977" s="349">
        <v>2.6199999999999997</v>
      </c>
    </row>
    <row r="978" spans="2:19">
      <c r="B978" s="215"/>
      <c r="E978" s="216"/>
      <c r="F978" s="216"/>
      <c r="G978" s="222"/>
      <c r="L978" s="217"/>
      <c r="N978" s="277"/>
      <c r="O978" s="261"/>
      <c r="P978" s="261"/>
      <c r="Q978" s="345">
        <v>2813910082</v>
      </c>
      <c r="R978" s="49" t="s">
        <v>1609</v>
      </c>
      <c r="S978" s="349">
        <v>3.63</v>
      </c>
    </row>
    <row r="979" spans="2:19">
      <c r="B979" s="215"/>
      <c r="E979" s="216"/>
      <c r="F979" s="216"/>
      <c r="G979" s="222"/>
      <c r="K979" s="217"/>
      <c r="L979" s="217"/>
      <c r="M979" s="217"/>
      <c r="N979" s="277"/>
      <c r="O979" s="261"/>
      <c r="P979" s="261"/>
      <c r="Q979" s="345">
        <v>2813910083</v>
      </c>
      <c r="R979" s="49" t="s">
        <v>1610</v>
      </c>
      <c r="S979" s="349">
        <v>5.39</v>
      </c>
    </row>
    <row r="980" spans="2:19">
      <c r="B980" s="215"/>
      <c r="E980" s="216"/>
      <c r="F980" s="216"/>
      <c r="G980" s="222"/>
      <c r="K980" s="217"/>
      <c r="L980" s="217"/>
      <c r="M980" s="217"/>
      <c r="N980" s="277"/>
      <c r="O980" s="261"/>
      <c r="P980" s="261"/>
      <c r="Q980" s="345">
        <v>2813910084</v>
      </c>
      <c r="R980" s="49" t="s">
        <v>1611</v>
      </c>
      <c r="S980" s="349">
        <v>11.12</v>
      </c>
    </row>
    <row r="981" spans="2:19">
      <c r="B981" s="215"/>
      <c r="E981" s="216"/>
      <c r="F981" s="216"/>
      <c r="G981" s="222"/>
      <c r="K981" s="217"/>
      <c r="L981" s="217"/>
      <c r="M981" s="217"/>
      <c r="N981" s="277"/>
      <c r="O981" s="261"/>
      <c r="P981" s="261"/>
      <c r="Q981" s="345">
        <v>2813910085</v>
      </c>
      <c r="R981" s="49" t="s">
        <v>1612</v>
      </c>
      <c r="S981" s="349">
        <v>11.12</v>
      </c>
    </row>
    <row r="982" spans="2:19">
      <c r="B982" s="215"/>
      <c r="E982" s="216"/>
      <c r="F982" s="216"/>
      <c r="G982" s="222"/>
      <c r="K982" s="217"/>
      <c r="L982" s="217"/>
      <c r="M982" s="217"/>
      <c r="N982" s="277"/>
      <c r="O982" s="261"/>
      <c r="P982" s="261"/>
      <c r="Q982" s="345">
        <v>2813910086</v>
      </c>
      <c r="R982" s="49" t="s">
        <v>1613</v>
      </c>
      <c r="S982" s="349">
        <v>11.97</v>
      </c>
    </row>
    <row r="983" spans="2:19">
      <c r="B983" s="215"/>
      <c r="E983" s="216"/>
      <c r="F983" s="216"/>
      <c r="G983" s="222"/>
      <c r="K983" s="217"/>
      <c r="L983" s="217"/>
      <c r="M983" s="217"/>
      <c r="N983" s="277"/>
      <c r="O983" s="261"/>
      <c r="P983" s="261"/>
      <c r="Q983" s="345">
        <v>2813910087</v>
      </c>
      <c r="R983" s="49" t="s">
        <v>1614</v>
      </c>
      <c r="S983" s="349">
        <v>11.42</v>
      </c>
    </row>
    <row r="984" spans="2:19">
      <c r="B984" s="215"/>
      <c r="E984" s="216"/>
      <c r="F984" s="216"/>
      <c r="G984" s="222"/>
      <c r="K984" s="217"/>
      <c r="L984" s="217"/>
      <c r="M984" s="217"/>
      <c r="N984" s="277"/>
      <c r="O984" s="261"/>
      <c r="P984" s="261"/>
      <c r="Q984" s="345">
        <v>2813910088</v>
      </c>
      <c r="R984" s="49" t="s">
        <v>1615</v>
      </c>
      <c r="S984" s="349">
        <v>11.42</v>
      </c>
    </row>
    <row r="985" spans="2:19">
      <c r="B985" s="215"/>
      <c r="E985" s="216"/>
      <c r="F985" s="216"/>
      <c r="G985" s="222"/>
      <c r="K985" s="217"/>
      <c r="L985" s="217"/>
      <c r="M985" s="217"/>
      <c r="N985" s="277"/>
      <c r="O985" s="261"/>
      <c r="P985" s="261"/>
      <c r="Q985" s="345">
        <v>2813910089</v>
      </c>
      <c r="R985" s="49" t="s">
        <v>1616</v>
      </c>
      <c r="S985" s="349">
        <v>12.25</v>
      </c>
    </row>
    <row r="986" spans="2:19">
      <c r="B986" s="215"/>
      <c r="E986" s="216"/>
      <c r="F986" s="216"/>
      <c r="G986" s="222"/>
      <c r="K986" s="217"/>
      <c r="L986" s="217"/>
      <c r="M986" s="217"/>
      <c r="N986" s="277"/>
      <c r="O986" s="261"/>
      <c r="P986" s="261"/>
      <c r="Q986" s="345">
        <v>2813910090</v>
      </c>
      <c r="R986" s="49" t="s">
        <v>1617</v>
      </c>
      <c r="S986" s="349">
        <v>11.42</v>
      </c>
    </row>
    <row r="987" spans="2:19">
      <c r="B987" s="215"/>
      <c r="E987" s="216"/>
      <c r="F987" s="216"/>
      <c r="G987" s="222"/>
      <c r="K987" s="217"/>
      <c r="L987" s="217"/>
      <c r="M987" s="217"/>
      <c r="N987" s="277"/>
      <c r="O987" s="261"/>
      <c r="P987" s="261"/>
      <c r="Q987" s="345">
        <v>2813910091</v>
      </c>
      <c r="R987" s="49" t="s">
        <v>1618</v>
      </c>
      <c r="S987" s="349">
        <v>11.42</v>
      </c>
    </row>
    <row r="988" spans="2:19">
      <c r="B988" s="215"/>
      <c r="E988" s="216"/>
      <c r="F988" s="216"/>
      <c r="G988" s="222"/>
      <c r="K988" s="217"/>
      <c r="L988" s="217"/>
      <c r="M988" s="217"/>
      <c r="N988" s="277"/>
      <c r="O988" s="261"/>
      <c r="P988" s="261"/>
      <c r="Q988" s="345">
        <v>2813910092</v>
      </c>
      <c r="R988" s="49" t="s">
        <v>1619</v>
      </c>
      <c r="S988" s="349">
        <v>11.42</v>
      </c>
    </row>
    <row r="989" spans="2:19">
      <c r="B989" s="215"/>
      <c r="E989" s="216"/>
      <c r="F989" s="216"/>
      <c r="G989" s="222"/>
      <c r="K989" s="217"/>
      <c r="L989" s="217"/>
      <c r="M989" s="217"/>
      <c r="N989" s="277"/>
      <c r="O989" s="261"/>
      <c r="P989" s="261"/>
      <c r="Q989" s="345">
        <v>2813920000</v>
      </c>
      <c r="R989" s="49" t="s">
        <v>1620</v>
      </c>
      <c r="S989" s="349">
        <v>56.28</v>
      </c>
    </row>
    <row r="990" spans="2:19">
      <c r="B990" s="215"/>
      <c r="E990" s="216"/>
      <c r="F990" s="216"/>
      <c r="G990" s="222"/>
      <c r="K990" s="217"/>
      <c r="L990" s="217"/>
      <c r="M990" s="217"/>
      <c r="N990" s="277"/>
      <c r="O990" s="261"/>
      <c r="P990" s="261"/>
      <c r="Q990" s="345">
        <v>2813920001</v>
      </c>
      <c r="R990" s="49" t="s">
        <v>1622</v>
      </c>
      <c r="S990" s="349">
        <v>74.940000000000012</v>
      </c>
    </row>
    <row r="991" spans="2:19">
      <c r="B991" s="215"/>
      <c r="E991" s="216"/>
      <c r="F991" s="216"/>
      <c r="G991" s="222"/>
      <c r="K991" s="217"/>
      <c r="L991" s="217"/>
      <c r="M991" s="217"/>
      <c r="N991" s="277"/>
      <c r="O991" s="261"/>
      <c r="P991" s="261"/>
      <c r="Q991" s="345">
        <v>2813920002</v>
      </c>
      <c r="R991" s="49" t="s">
        <v>1623</v>
      </c>
      <c r="S991" s="349">
        <v>71.75</v>
      </c>
    </row>
    <row r="992" spans="2:19">
      <c r="B992" s="215"/>
      <c r="E992" s="216"/>
      <c r="F992" s="216"/>
      <c r="G992" s="222"/>
      <c r="K992" s="217"/>
      <c r="L992" s="217"/>
      <c r="M992" s="217"/>
      <c r="N992" s="277"/>
      <c r="O992" s="261"/>
      <c r="P992" s="261"/>
      <c r="Q992" s="345">
        <v>2813920003</v>
      </c>
      <c r="R992" s="49" t="s">
        <v>1624</v>
      </c>
      <c r="S992" s="349">
        <v>184.12</v>
      </c>
    </row>
    <row r="993" spans="2:19">
      <c r="B993" s="215"/>
      <c r="E993" s="216"/>
      <c r="F993" s="216"/>
      <c r="G993" s="222"/>
      <c r="K993" s="217"/>
      <c r="L993" s="217"/>
      <c r="M993" s="217"/>
      <c r="N993" s="277"/>
      <c r="O993" s="261"/>
      <c r="P993" s="261"/>
      <c r="Q993" s="345">
        <v>2813920004</v>
      </c>
      <c r="R993" s="49" t="s">
        <v>1625</v>
      </c>
      <c r="S993" s="349">
        <v>195.98</v>
      </c>
    </row>
    <row r="994" spans="2:19">
      <c r="B994" s="215"/>
      <c r="E994" s="216"/>
      <c r="F994" s="216"/>
      <c r="G994" s="222"/>
      <c r="K994" s="217"/>
      <c r="L994" s="217"/>
      <c r="M994" s="217"/>
      <c r="N994" s="277"/>
      <c r="O994" s="261"/>
      <c r="P994" s="261"/>
      <c r="Q994" s="345">
        <v>2813920005</v>
      </c>
      <c r="R994" s="49" t="s">
        <v>1626</v>
      </c>
      <c r="S994" s="349">
        <v>185.95999999999998</v>
      </c>
    </row>
    <row r="995" spans="2:19">
      <c r="B995" s="215"/>
      <c r="E995" s="216"/>
      <c r="F995" s="216"/>
      <c r="G995" s="222"/>
      <c r="K995" s="217"/>
      <c r="L995" s="217"/>
      <c r="M995" s="217"/>
      <c r="N995" s="277"/>
      <c r="O995" s="261"/>
      <c r="P995" s="261"/>
      <c r="Q995" s="345">
        <v>2813920006</v>
      </c>
      <c r="R995" s="49" t="s">
        <v>1627</v>
      </c>
      <c r="S995" s="349">
        <v>197.89999999999998</v>
      </c>
    </row>
    <row r="996" spans="2:19">
      <c r="B996" s="215"/>
      <c r="E996" s="216"/>
      <c r="F996" s="216"/>
      <c r="G996" s="222"/>
      <c r="K996" s="217"/>
      <c r="L996" s="217"/>
      <c r="M996" s="217"/>
      <c r="N996" s="277"/>
      <c r="O996" s="261"/>
      <c r="P996" s="261"/>
      <c r="Q996" s="345">
        <v>2813920007</v>
      </c>
      <c r="R996" s="49" t="s">
        <v>1628</v>
      </c>
      <c r="S996" s="349">
        <v>38.44</v>
      </c>
    </row>
    <row r="997" spans="2:19">
      <c r="B997" s="215"/>
      <c r="E997" s="216"/>
      <c r="F997" s="216"/>
      <c r="G997" s="222"/>
      <c r="K997" s="217"/>
      <c r="L997" s="217"/>
      <c r="M997" s="217"/>
      <c r="N997" s="277"/>
      <c r="O997" s="261"/>
      <c r="P997" s="261"/>
      <c r="Q997" s="345">
        <v>2813920008</v>
      </c>
      <c r="R997" s="49" t="s">
        <v>1629</v>
      </c>
      <c r="S997" s="349">
        <v>58.129999999999995</v>
      </c>
    </row>
    <row r="998" spans="2:19">
      <c r="B998" s="215"/>
      <c r="E998" s="216"/>
      <c r="F998" s="216"/>
      <c r="G998" s="222"/>
      <c r="K998" s="217"/>
      <c r="L998" s="217"/>
      <c r="M998" s="217"/>
      <c r="N998" s="277"/>
      <c r="O998" s="261"/>
      <c r="P998" s="261"/>
      <c r="Q998" s="345">
        <v>2813920009</v>
      </c>
      <c r="R998" s="49" t="s">
        <v>1630</v>
      </c>
      <c r="S998" s="349">
        <v>61.559999999999995</v>
      </c>
    </row>
    <row r="999" spans="2:19">
      <c r="B999" s="215"/>
      <c r="E999" s="216"/>
      <c r="F999" s="216"/>
      <c r="G999" s="222"/>
      <c r="K999" s="217"/>
      <c r="L999" s="217"/>
      <c r="M999" s="217"/>
      <c r="N999" s="277"/>
      <c r="O999" s="261"/>
      <c r="P999" s="261"/>
      <c r="Q999" s="345">
        <v>2813920010</v>
      </c>
      <c r="R999" s="49" t="s">
        <v>1631</v>
      </c>
      <c r="S999" s="349">
        <v>135.19</v>
      </c>
    </row>
    <row r="1000" spans="2:19">
      <c r="B1000" s="215"/>
      <c r="E1000" s="216"/>
      <c r="F1000" s="216"/>
      <c r="G1000" s="222"/>
      <c r="K1000" s="217"/>
      <c r="L1000" s="217"/>
      <c r="M1000" s="217"/>
      <c r="N1000" s="277"/>
      <c r="O1000" s="261"/>
      <c r="P1000" s="261"/>
      <c r="Q1000" s="345">
        <v>2813920011</v>
      </c>
      <c r="R1000" s="49" t="s">
        <v>1632</v>
      </c>
      <c r="S1000" s="349">
        <v>161.03</v>
      </c>
    </row>
    <row r="1001" spans="2:19">
      <c r="B1001" s="215"/>
      <c r="E1001" s="216"/>
      <c r="F1001" s="216"/>
      <c r="G1001" s="222"/>
      <c r="K1001" s="217"/>
      <c r="L1001" s="217"/>
      <c r="M1001" s="217"/>
      <c r="N1001" s="277"/>
      <c r="O1001" s="261"/>
      <c r="P1001" s="261"/>
      <c r="Q1001" s="345">
        <v>2813920012</v>
      </c>
      <c r="R1001" s="49" t="s">
        <v>1633</v>
      </c>
      <c r="S1001" s="349">
        <v>139.62</v>
      </c>
    </row>
    <row r="1002" spans="2:19">
      <c r="B1002" s="215"/>
      <c r="E1002" s="216"/>
      <c r="F1002" s="216"/>
      <c r="G1002" s="222"/>
      <c r="K1002" s="217"/>
      <c r="L1002" s="217"/>
      <c r="M1002" s="217"/>
      <c r="N1002" s="277"/>
      <c r="O1002" s="261"/>
      <c r="P1002" s="261"/>
      <c r="Q1002" s="345">
        <v>2813920013</v>
      </c>
      <c r="R1002" s="49" t="s">
        <v>1634</v>
      </c>
      <c r="S1002" s="349">
        <v>167.97</v>
      </c>
    </row>
    <row r="1003" spans="2:19">
      <c r="B1003" s="215"/>
      <c r="E1003" s="216"/>
      <c r="F1003" s="216"/>
      <c r="G1003" s="222"/>
      <c r="K1003" s="217"/>
      <c r="L1003" s="217"/>
      <c r="M1003" s="217"/>
      <c r="N1003" s="277"/>
      <c r="O1003" s="261"/>
      <c r="P1003" s="261"/>
      <c r="Q1003" s="345">
        <v>2813920014</v>
      </c>
      <c r="R1003" s="49" t="s">
        <v>1635</v>
      </c>
      <c r="S1003" s="349">
        <v>76.31</v>
      </c>
    </row>
    <row r="1004" spans="2:19">
      <c r="B1004" s="215"/>
      <c r="E1004" s="216"/>
      <c r="F1004" s="216"/>
      <c r="G1004" s="222"/>
      <c r="K1004" s="217"/>
      <c r="L1004" s="217"/>
      <c r="M1004" s="217"/>
      <c r="N1004" s="277"/>
      <c r="O1004" s="261"/>
      <c r="P1004" s="261"/>
      <c r="Q1004" s="345">
        <v>2813920015</v>
      </c>
      <c r="R1004" s="49" t="s">
        <v>1636</v>
      </c>
      <c r="S1004" s="349">
        <v>102.22</v>
      </c>
    </row>
    <row r="1005" spans="2:19">
      <c r="B1005" s="215"/>
      <c r="E1005" s="216"/>
      <c r="F1005" s="216"/>
      <c r="G1005" s="222"/>
      <c r="K1005" s="217"/>
      <c r="L1005" s="217"/>
      <c r="M1005" s="217"/>
      <c r="N1005" s="277"/>
      <c r="O1005" s="261"/>
      <c r="P1005" s="261"/>
      <c r="Q1005" s="345">
        <v>2813920016</v>
      </c>
      <c r="R1005" s="49" t="s">
        <v>1637</v>
      </c>
      <c r="S1005" s="349">
        <v>102.22</v>
      </c>
    </row>
    <row r="1006" spans="2:19">
      <c r="B1006" s="215"/>
      <c r="E1006" s="216"/>
      <c r="F1006" s="216"/>
      <c r="G1006" s="222"/>
      <c r="K1006" s="217"/>
      <c r="L1006" s="217"/>
      <c r="M1006" s="217"/>
      <c r="N1006" s="277"/>
      <c r="O1006" s="261"/>
      <c r="P1006" s="261"/>
      <c r="Q1006" s="345">
        <v>2813920017</v>
      </c>
      <c r="R1006" s="49" t="s">
        <v>1638</v>
      </c>
      <c r="S1006" s="349">
        <v>175.32999999999998</v>
      </c>
    </row>
    <row r="1007" spans="2:19">
      <c r="B1007" s="215"/>
      <c r="E1007" s="216"/>
      <c r="F1007" s="216"/>
      <c r="G1007" s="222"/>
      <c r="K1007" s="217"/>
      <c r="L1007" s="217"/>
      <c r="M1007" s="217"/>
      <c r="N1007" s="277"/>
      <c r="O1007" s="261"/>
      <c r="P1007" s="261"/>
      <c r="Q1007" s="345">
        <v>2813920018</v>
      </c>
      <c r="R1007" s="49" t="s">
        <v>1639</v>
      </c>
      <c r="S1007" s="349">
        <v>186.7</v>
      </c>
    </row>
    <row r="1008" spans="2:19">
      <c r="B1008" s="215"/>
      <c r="E1008" s="216"/>
      <c r="F1008" s="216"/>
      <c r="G1008" s="222"/>
      <c r="K1008" s="217"/>
      <c r="L1008" s="217"/>
      <c r="M1008" s="217"/>
      <c r="N1008" s="277"/>
      <c r="O1008" s="261"/>
      <c r="P1008" s="261"/>
      <c r="Q1008" s="345">
        <v>2813920019</v>
      </c>
      <c r="R1008" s="49" t="s">
        <v>1640</v>
      </c>
      <c r="S1008" s="349">
        <v>175.32999999999998</v>
      </c>
    </row>
    <row r="1009" spans="2:19">
      <c r="B1009" s="215"/>
      <c r="E1009" s="216"/>
      <c r="F1009" s="216"/>
      <c r="G1009" s="222"/>
      <c r="K1009" s="217"/>
      <c r="L1009" s="217"/>
      <c r="M1009" s="217"/>
      <c r="N1009" s="277"/>
      <c r="O1009" s="261"/>
      <c r="P1009" s="261"/>
      <c r="Q1009" s="345">
        <v>2813920020</v>
      </c>
      <c r="R1009" s="49" t="s">
        <v>1641</v>
      </c>
      <c r="S1009" s="349">
        <v>187.16</v>
      </c>
    </row>
    <row r="1010" spans="2:19">
      <c r="B1010" s="215"/>
      <c r="E1010" s="216"/>
      <c r="F1010" s="216"/>
      <c r="G1010" s="222"/>
      <c r="K1010" s="217"/>
      <c r="L1010" s="217"/>
      <c r="M1010" s="217"/>
      <c r="N1010" s="277"/>
      <c r="O1010" s="261"/>
      <c r="P1010" s="261"/>
      <c r="Q1010" s="345">
        <v>2813920021</v>
      </c>
      <c r="R1010" s="49" t="s">
        <v>1642</v>
      </c>
      <c r="S1010" s="349">
        <v>51.66</v>
      </c>
    </row>
    <row r="1011" spans="2:19">
      <c r="B1011" s="215"/>
      <c r="E1011" s="216"/>
      <c r="F1011" s="216"/>
      <c r="G1011" s="222"/>
      <c r="K1011" s="217"/>
      <c r="L1011" s="217"/>
      <c r="M1011" s="217"/>
      <c r="N1011" s="277"/>
      <c r="O1011" s="261"/>
      <c r="P1011" s="261"/>
      <c r="Q1011" s="345">
        <v>2813920022</v>
      </c>
      <c r="R1011" s="49" t="s">
        <v>1643</v>
      </c>
      <c r="S1011" s="349">
        <v>67.070000000000007</v>
      </c>
    </row>
    <row r="1012" spans="2:19">
      <c r="B1012" s="215"/>
      <c r="E1012" s="216"/>
      <c r="F1012" s="216"/>
      <c r="G1012" s="222"/>
      <c r="K1012" s="217"/>
      <c r="L1012" s="217"/>
      <c r="M1012" s="217"/>
      <c r="N1012" s="277"/>
      <c r="O1012" s="261"/>
      <c r="P1012" s="261"/>
      <c r="Q1012" s="345">
        <v>2813920023</v>
      </c>
      <c r="R1012" s="49" t="s">
        <v>1645</v>
      </c>
      <c r="S1012" s="349">
        <v>65.7</v>
      </c>
    </row>
    <row r="1013" spans="2:19">
      <c r="B1013" s="215"/>
      <c r="E1013" s="216"/>
      <c r="F1013" s="216"/>
      <c r="G1013" s="222"/>
      <c r="K1013" s="217"/>
      <c r="L1013" s="217"/>
      <c r="M1013" s="217"/>
      <c r="N1013" s="277"/>
      <c r="O1013" s="261"/>
      <c r="P1013" s="261"/>
      <c r="Q1013" s="345">
        <v>2813920024</v>
      </c>
      <c r="R1013" s="49" t="s">
        <v>1646</v>
      </c>
      <c r="S1013" s="349">
        <v>174.48</v>
      </c>
    </row>
    <row r="1014" spans="2:19">
      <c r="B1014" s="215"/>
      <c r="E1014" s="216"/>
      <c r="F1014" s="216"/>
      <c r="G1014" s="222"/>
      <c r="K1014" s="217"/>
      <c r="L1014" s="217"/>
      <c r="M1014" s="217"/>
      <c r="N1014" s="277"/>
      <c r="O1014" s="261"/>
      <c r="P1014" s="261"/>
      <c r="Q1014" s="345">
        <v>2813920025</v>
      </c>
      <c r="R1014" s="49" t="s">
        <v>1647</v>
      </c>
      <c r="S1014" s="349">
        <v>180.23</v>
      </c>
    </row>
    <row r="1015" spans="2:19">
      <c r="B1015" s="215"/>
      <c r="E1015" s="216"/>
      <c r="F1015" s="216"/>
      <c r="G1015" s="222"/>
      <c r="K1015" s="217"/>
      <c r="L1015" s="217"/>
      <c r="M1015" s="217"/>
      <c r="N1015" s="277"/>
      <c r="O1015" s="261"/>
      <c r="P1015" s="261"/>
      <c r="Q1015" s="345">
        <v>2813920026</v>
      </c>
      <c r="R1015" s="49" t="s">
        <v>1648</v>
      </c>
      <c r="S1015" s="349">
        <v>131.17999999999998</v>
      </c>
    </row>
    <row r="1016" spans="2:19">
      <c r="B1016" s="215"/>
      <c r="E1016" s="216"/>
      <c r="F1016" s="216"/>
      <c r="G1016" s="222"/>
      <c r="K1016" s="217"/>
      <c r="L1016" s="217"/>
      <c r="M1016" s="217"/>
      <c r="N1016" s="277"/>
      <c r="O1016" s="261"/>
      <c r="P1016" s="261"/>
      <c r="Q1016" s="345">
        <v>2813920027</v>
      </c>
      <c r="R1016" s="49" t="s">
        <v>1649</v>
      </c>
      <c r="S1016" s="349">
        <v>161.10999999999999</v>
      </c>
    </row>
    <row r="1017" spans="2:19">
      <c r="B1017" s="215"/>
      <c r="E1017" s="216"/>
      <c r="F1017" s="216"/>
      <c r="G1017" s="222"/>
      <c r="K1017" s="217"/>
      <c r="L1017" s="217"/>
      <c r="M1017" s="217"/>
      <c r="N1017" s="277"/>
      <c r="O1017" s="261"/>
      <c r="P1017" s="261"/>
      <c r="Q1017" s="345">
        <v>2813920028</v>
      </c>
      <c r="R1017" s="49" t="s">
        <v>1650</v>
      </c>
      <c r="S1017" s="349">
        <v>174.48</v>
      </c>
    </row>
    <row r="1018" spans="2:19">
      <c r="B1018" s="215"/>
      <c r="E1018" s="216"/>
      <c r="F1018" s="216"/>
      <c r="G1018" s="222"/>
      <c r="K1018" s="217"/>
      <c r="L1018" s="217"/>
      <c r="M1018" s="217"/>
      <c r="N1018" s="277"/>
      <c r="O1018" s="261"/>
      <c r="P1018" s="261"/>
      <c r="Q1018" s="345">
        <v>2813920029</v>
      </c>
      <c r="R1018" s="49" t="s">
        <v>1651</v>
      </c>
      <c r="S1018" s="349">
        <v>280.02</v>
      </c>
    </row>
    <row r="1019" spans="2:19">
      <c r="B1019" s="215"/>
      <c r="E1019" s="216"/>
      <c r="F1019" s="216"/>
      <c r="G1019" s="222"/>
      <c r="K1019" s="217"/>
      <c r="L1019" s="217"/>
      <c r="M1019" s="217"/>
      <c r="N1019" s="277"/>
      <c r="O1019" s="261"/>
      <c r="P1019" s="261"/>
      <c r="Q1019" s="345">
        <v>2813920030</v>
      </c>
      <c r="R1019" s="49" t="s">
        <v>1652</v>
      </c>
      <c r="S1019" s="349">
        <v>333.55</v>
      </c>
    </row>
    <row r="1020" spans="2:19">
      <c r="B1020" s="215"/>
      <c r="E1020" s="216"/>
      <c r="F1020" s="216"/>
      <c r="G1020" s="222"/>
      <c r="K1020" s="217"/>
      <c r="L1020" s="217"/>
      <c r="M1020" s="217"/>
      <c r="N1020" s="277"/>
      <c r="O1020" s="261"/>
      <c r="P1020" s="261"/>
      <c r="Q1020" s="345">
        <v>2813920031</v>
      </c>
      <c r="R1020" s="49" t="s">
        <v>1653</v>
      </c>
      <c r="S1020" s="349">
        <v>285.69</v>
      </c>
    </row>
    <row r="1021" spans="2:19">
      <c r="B1021" s="215"/>
      <c r="E1021" s="216"/>
      <c r="F1021" s="216"/>
      <c r="G1021" s="222"/>
      <c r="K1021" s="217"/>
      <c r="L1021" s="217"/>
      <c r="M1021" s="217"/>
      <c r="N1021" s="277"/>
      <c r="O1021" s="261"/>
      <c r="P1021" s="261"/>
      <c r="Q1021" s="345">
        <v>2813920032</v>
      </c>
      <c r="R1021" s="49" t="s">
        <v>1654</v>
      </c>
      <c r="S1021" s="349">
        <v>340.40999999999997</v>
      </c>
    </row>
    <row r="1022" spans="2:19">
      <c r="B1022" s="215"/>
      <c r="E1022" s="216"/>
      <c r="F1022" s="216"/>
      <c r="G1022" s="222"/>
      <c r="K1022" s="217"/>
      <c r="L1022" s="217"/>
      <c r="M1022" s="217"/>
      <c r="N1022" s="277"/>
      <c r="O1022" s="261"/>
      <c r="P1022" s="261"/>
      <c r="Q1022" s="345">
        <v>2813920033</v>
      </c>
      <c r="R1022" s="49" t="s">
        <v>1655</v>
      </c>
      <c r="S1022" s="349">
        <v>64.47</v>
      </c>
    </row>
    <row r="1023" spans="2:19">
      <c r="B1023" s="215"/>
      <c r="E1023" s="216"/>
      <c r="F1023" s="216"/>
      <c r="G1023" s="222"/>
      <c r="K1023" s="217"/>
      <c r="L1023" s="217"/>
      <c r="M1023" s="217"/>
      <c r="N1023" s="277"/>
      <c r="O1023" s="261"/>
      <c r="P1023" s="261"/>
      <c r="Q1023" s="345">
        <v>2813920034</v>
      </c>
      <c r="R1023" s="49" t="s">
        <v>1656</v>
      </c>
      <c r="S1023" s="349">
        <v>85.850000000000009</v>
      </c>
    </row>
    <row r="1024" spans="2:19">
      <c r="B1024" s="215"/>
      <c r="E1024" s="216"/>
      <c r="F1024" s="216"/>
      <c r="G1024" s="222"/>
      <c r="K1024" s="217"/>
      <c r="L1024" s="217"/>
      <c r="M1024" s="217"/>
      <c r="N1024" s="277"/>
      <c r="O1024" s="261"/>
      <c r="P1024" s="261"/>
      <c r="Q1024" s="345">
        <v>2813920035</v>
      </c>
      <c r="R1024" s="49" t="s">
        <v>1657</v>
      </c>
      <c r="S1024" s="349">
        <v>95.710000000000008</v>
      </c>
    </row>
    <row r="1025" spans="2:19">
      <c r="B1025" s="215"/>
      <c r="E1025" s="216"/>
      <c r="F1025" s="216"/>
      <c r="G1025" s="222"/>
      <c r="K1025" s="217"/>
      <c r="L1025" s="217"/>
      <c r="M1025" s="217"/>
      <c r="N1025" s="277"/>
      <c r="O1025" s="261"/>
      <c r="P1025" s="261"/>
      <c r="Q1025" s="345">
        <v>2813920036</v>
      </c>
      <c r="R1025" s="49" t="s">
        <v>1658</v>
      </c>
      <c r="S1025" s="349">
        <v>38.44</v>
      </c>
    </row>
    <row r="1026" spans="2:19">
      <c r="B1026" s="215"/>
      <c r="E1026" s="216"/>
      <c r="F1026" s="216"/>
      <c r="G1026" s="222"/>
      <c r="K1026" s="217"/>
      <c r="L1026" s="217"/>
      <c r="M1026" s="217"/>
      <c r="N1026" s="277"/>
      <c r="O1026" s="261"/>
      <c r="P1026" s="261"/>
      <c r="Q1026" s="345">
        <v>2813920037</v>
      </c>
      <c r="R1026" s="49" t="s">
        <v>1659</v>
      </c>
      <c r="S1026" s="349">
        <v>58.14</v>
      </c>
    </row>
    <row r="1027" spans="2:19">
      <c r="B1027" s="215"/>
      <c r="E1027" s="216"/>
      <c r="F1027" s="216"/>
      <c r="G1027" s="222"/>
      <c r="K1027" s="217"/>
      <c r="L1027" s="217"/>
      <c r="M1027" s="217"/>
      <c r="N1027" s="277"/>
      <c r="O1027" s="261"/>
      <c r="P1027" s="261"/>
      <c r="Q1027" s="345">
        <v>2813920038</v>
      </c>
      <c r="R1027" s="49" t="s">
        <v>1660</v>
      </c>
      <c r="S1027" s="349">
        <v>61.559999999999995</v>
      </c>
    </row>
    <row r="1028" spans="2:19">
      <c r="B1028" s="215"/>
      <c r="E1028" s="216"/>
      <c r="F1028" s="216"/>
      <c r="G1028" s="222"/>
      <c r="K1028" s="217"/>
      <c r="L1028" s="217"/>
      <c r="M1028" s="217"/>
      <c r="N1028" s="277"/>
      <c r="O1028" s="261"/>
      <c r="P1028" s="261"/>
      <c r="Q1028" s="345">
        <v>2813920039</v>
      </c>
      <c r="R1028" s="49" t="s">
        <v>1661</v>
      </c>
      <c r="S1028" s="349">
        <v>87.410000000000011</v>
      </c>
    </row>
    <row r="1029" spans="2:19">
      <c r="B1029" s="215"/>
      <c r="E1029" s="216"/>
      <c r="F1029" s="216"/>
      <c r="G1029" s="222"/>
      <c r="K1029" s="217"/>
      <c r="L1029" s="217"/>
      <c r="M1029" s="217"/>
      <c r="N1029" s="277"/>
      <c r="O1029" s="261"/>
      <c r="P1029" s="261"/>
      <c r="Q1029" s="345">
        <v>2813920040</v>
      </c>
      <c r="R1029" s="49" t="s">
        <v>1662</v>
      </c>
      <c r="S1029" s="349">
        <v>117.09</v>
      </c>
    </row>
    <row r="1030" spans="2:19">
      <c r="B1030" s="215"/>
      <c r="E1030" s="216"/>
      <c r="F1030" s="216"/>
      <c r="G1030" s="222"/>
      <c r="K1030" s="217"/>
      <c r="L1030" s="217"/>
      <c r="M1030" s="217"/>
      <c r="N1030" s="277"/>
      <c r="O1030" s="261"/>
      <c r="P1030" s="261"/>
      <c r="Q1030" s="345">
        <v>2813920041</v>
      </c>
      <c r="R1030" s="49" t="s">
        <v>1663</v>
      </c>
      <c r="S1030" s="349">
        <v>136.34</v>
      </c>
    </row>
    <row r="1031" spans="2:19">
      <c r="B1031" s="215"/>
      <c r="E1031" s="216"/>
      <c r="F1031" s="216"/>
      <c r="G1031" s="222"/>
      <c r="K1031" s="217"/>
      <c r="L1031" s="217"/>
      <c r="M1031" s="217"/>
      <c r="N1031" s="277"/>
      <c r="O1031" s="261"/>
      <c r="P1031" s="261"/>
      <c r="Q1031" s="345">
        <v>2813920042</v>
      </c>
      <c r="R1031" s="49" t="s">
        <v>1664</v>
      </c>
      <c r="S1031" s="349">
        <v>51.69</v>
      </c>
    </row>
    <row r="1032" spans="2:19">
      <c r="B1032" s="215"/>
      <c r="E1032" s="216"/>
      <c r="F1032" s="216"/>
      <c r="G1032" s="222"/>
      <c r="K1032" s="217"/>
      <c r="L1032" s="217"/>
      <c r="M1032" s="217"/>
      <c r="N1032" s="277"/>
      <c r="O1032" s="261"/>
      <c r="P1032" s="261"/>
      <c r="Q1032" s="345">
        <v>2813920043</v>
      </c>
      <c r="R1032" s="49" t="s">
        <v>1665</v>
      </c>
      <c r="S1032" s="349">
        <v>67.070000000000007</v>
      </c>
    </row>
    <row r="1033" spans="2:19">
      <c r="B1033" s="215"/>
      <c r="E1033" s="216"/>
      <c r="F1033" s="216"/>
      <c r="G1033" s="222"/>
      <c r="K1033" s="217"/>
      <c r="L1033" s="217"/>
      <c r="M1033" s="217"/>
      <c r="N1033" s="277"/>
      <c r="O1033" s="261"/>
      <c r="P1033" s="261"/>
      <c r="Q1033" s="345">
        <v>2813920044</v>
      </c>
      <c r="R1033" s="49" t="s">
        <v>1666</v>
      </c>
      <c r="S1033" s="349">
        <v>65.72</v>
      </c>
    </row>
    <row r="1034" spans="2:19">
      <c r="B1034" s="215"/>
      <c r="E1034" s="216"/>
      <c r="F1034" s="216"/>
      <c r="G1034" s="222"/>
      <c r="K1034" s="217"/>
      <c r="L1034" s="217"/>
      <c r="M1034" s="217"/>
      <c r="N1034" s="277"/>
      <c r="O1034" s="261"/>
      <c r="P1034" s="261"/>
      <c r="Q1034" s="345">
        <v>2813920045</v>
      </c>
      <c r="R1034" s="49" t="s">
        <v>1667</v>
      </c>
      <c r="S1034" s="349">
        <v>174.48</v>
      </c>
    </row>
    <row r="1035" spans="2:19">
      <c r="B1035" s="215"/>
      <c r="E1035" s="216"/>
      <c r="F1035" s="216"/>
      <c r="G1035" s="222"/>
      <c r="K1035" s="217"/>
      <c r="L1035" s="217"/>
      <c r="M1035" s="217"/>
      <c r="N1035" s="277"/>
      <c r="O1035" s="261"/>
      <c r="P1035" s="261"/>
      <c r="Q1035" s="345">
        <v>2813920046</v>
      </c>
      <c r="R1035" s="49" t="s">
        <v>1668</v>
      </c>
      <c r="S1035" s="349">
        <v>180.23</v>
      </c>
    </row>
    <row r="1036" spans="2:19">
      <c r="B1036" s="215"/>
      <c r="E1036" s="216"/>
      <c r="F1036" s="216"/>
      <c r="G1036" s="222"/>
      <c r="K1036" s="217"/>
      <c r="L1036" s="217"/>
      <c r="M1036" s="217"/>
      <c r="N1036" s="277"/>
      <c r="O1036" s="261"/>
      <c r="P1036" s="261"/>
      <c r="Q1036" s="345">
        <v>2813920047</v>
      </c>
      <c r="R1036" s="49" t="s">
        <v>1669</v>
      </c>
      <c r="S1036" s="349">
        <v>150.25</v>
      </c>
    </row>
    <row r="1037" spans="2:19">
      <c r="B1037" s="215"/>
      <c r="E1037" s="216"/>
      <c r="F1037" s="216"/>
      <c r="G1037" s="222"/>
      <c r="K1037" s="217"/>
      <c r="L1037" s="217"/>
      <c r="M1037" s="217"/>
      <c r="N1037" s="277"/>
      <c r="O1037" s="261"/>
      <c r="P1037" s="261"/>
      <c r="Q1037" s="345">
        <v>2813920048</v>
      </c>
      <c r="R1037" s="49" t="s">
        <v>1670</v>
      </c>
      <c r="S1037" s="349">
        <v>184.54999999999998</v>
      </c>
    </row>
    <row r="1038" spans="2:19">
      <c r="B1038" s="215"/>
      <c r="E1038" s="216"/>
      <c r="F1038" s="216"/>
      <c r="G1038" s="222"/>
      <c r="K1038" s="217"/>
      <c r="L1038" s="217"/>
      <c r="M1038" s="217"/>
      <c r="N1038" s="277"/>
      <c r="O1038" s="261"/>
      <c r="P1038" s="261"/>
      <c r="Q1038" s="345">
        <v>2813920049</v>
      </c>
      <c r="R1038" s="49" t="s">
        <v>1671</v>
      </c>
      <c r="S1038" s="349">
        <v>199.85999999999999</v>
      </c>
    </row>
    <row r="1039" spans="2:19">
      <c r="B1039" s="215"/>
      <c r="E1039" s="216"/>
      <c r="F1039" s="216"/>
      <c r="G1039" s="222"/>
      <c r="K1039" s="217"/>
      <c r="L1039" s="217"/>
      <c r="M1039" s="217"/>
      <c r="N1039" s="277"/>
      <c r="O1039" s="261"/>
      <c r="P1039" s="261"/>
      <c r="Q1039" s="345">
        <v>2813930000</v>
      </c>
      <c r="R1039" s="49" t="s">
        <v>1672</v>
      </c>
      <c r="S1039" s="349">
        <v>21.55</v>
      </c>
    </row>
    <row r="1040" spans="2:19">
      <c r="B1040" s="215"/>
      <c r="E1040" s="216"/>
      <c r="F1040" s="216"/>
      <c r="G1040" s="222"/>
      <c r="K1040" s="217"/>
      <c r="L1040" s="217"/>
      <c r="M1040" s="217"/>
      <c r="N1040" s="277"/>
      <c r="O1040" s="261"/>
      <c r="P1040" s="261"/>
      <c r="Q1040" s="345">
        <v>2813930001</v>
      </c>
      <c r="R1040" s="49" t="s">
        <v>1673</v>
      </c>
      <c r="S1040" s="349">
        <v>27.84</v>
      </c>
    </row>
    <row r="1041" spans="2:19">
      <c r="B1041" s="215"/>
      <c r="E1041" s="216"/>
      <c r="F1041" s="216"/>
      <c r="G1041" s="222"/>
      <c r="K1041" s="217"/>
      <c r="L1041" s="217"/>
      <c r="M1041" s="217"/>
      <c r="N1041" s="277"/>
      <c r="O1041" s="261"/>
      <c r="P1041" s="261"/>
      <c r="Q1041" s="345">
        <v>2813930002</v>
      </c>
      <c r="R1041" s="49" t="s">
        <v>1674</v>
      </c>
      <c r="S1041" s="349">
        <v>24.880000000000003</v>
      </c>
    </row>
    <row r="1042" spans="2:19">
      <c r="B1042" s="215"/>
      <c r="E1042" s="216"/>
      <c r="F1042" s="216"/>
      <c r="G1042" s="222"/>
      <c r="K1042" s="217"/>
      <c r="L1042" s="217"/>
      <c r="M1042" s="217"/>
      <c r="N1042" s="277"/>
      <c r="O1042" s="261"/>
      <c r="P1042" s="261"/>
      <c r="Q1042" s="345">
        <v>2813930003</v>
      </c>
      <c r="R1042" s="49" t="s">
        <v>1675</v>
      </c>
      <c r="S1042" s="349">
        <v>35.29</v>
      </c>
    </row>
    <row r="1043" spans="2:19">
      <c r="B1043" s="215"/>
      <c r="E1043" s="216"/>
      <c r="F1043" s="216"/>
      <c r="G1043" s="222"/>
      <c r="K1043" s="217"/>
      <c r="L1043" s="217"/>
      <c r="M1043" s="217"/>
      <c r="N1043" s="277"/>
      <c r="O1043" s="261"/>
      <c r="P1043" s="261"/>
      <c r="Q1043" s="345">
        <v>2813930004</v>
      </c>
      <c r="R1043" s="49" t="s">
        <v>1676</v>
      </c>
      <c r="S1043" s="349">
        <v>43.5</v>
      </c>
    </row>
    <row r="1044" spans="2:19">
      <c r="B1044" s="215"/>
      <c r="E1044" s="216"/>
      <c r="F1044" s="216"/>
      <c r="G1044" s="222"/>
      <c r="K1044" s="217"/>
      <c r="L1044" s="217"/>
      <c r="M1044" s="217"/>
      <c r="N1044" s="277"/>
      <c r="O1044" s="261"/>
      <c r="P1044" s="261"/>
      <c r="Q1044" s="345">
        <v>2813930005</v>
      </c>
      <c r="R1044" s="49" t="s">
        <v>1677</v>
      </c>
      <c r="S1044" s="349">
        <v>21.55</v>
      </c>
    </row>
    <row r="1045" spans="2:19">
      <c r="B1045" s="215"/>
      <c r="E1045" s="216"/>
      <c r="F1045" s="216"/>
      <c r="G1045" s="222"/>
      <c r="K1045" s="217"/>
      <c r="L1045" s="217"/>
      <c r="M1045" s="217"/>
      <c r="N1045" s="277"/>
      <c r="O1045" s="261"/>
      <c r="P1045" s="261"/>
      <c r="Q1045" s="345">
        <v>2813930006</v>
      </c>
      <c r="R1045" s="49" t="s">
        <v>1678</v>
      </c>
      <c r="S1045" s="349">
        <v>27.84</v>
      </c>
    </row>
    <row r="1046" spans="2:19">
      <c r="B1046" s="215"/>
      <c r="E1046" s="216"/>
      <c r="F1046" s="216"/>
      <c r="G1046" s="222"/>
      <c r="K1046" s="217"/>
      <c r="L1046" s="217"/>
      <c r="M1046" s="217"/>
      <c r="N1046" s="277"/>
      <c r="O1046" s="261"/>
      <c r="P1046" s="261"/>
      <c r="Q1046" s="345">
        <v>2813930007</v>
      </c>
      <c r="R1046" s="49" t="s">
        <v>1679</v>
      </c>
      <c r="S1046" s="349">
        <v>24.880000000000003</v>
      </c>
    </row>
    <row r="1047" spans="2:19">
      <c r="B1047" s="215"/>
      <c r="E1047" s="216"/>
      <c r="F1047" s="216"/>
      <c r="G1047" s="222"/>
      <c r="K1047" s="217"/>
      <c r="L1047" s="217"/>
      <c r="M1047" s="217"/>
      <c r="N1047" s="277"/>
      <c r="O1047" s="261"/>
      <c r="P1047" s="261"/>
      <c r="Q1047" s="345">
        <v>2813930008</v>
      </c>
      <c r="R1047" s="49" t="s">
        <v>1680</v>
      </c>
      <c r="S1047" s="349">
        <v>35.29</v>
      </c>
    </row>
    <row r="1048" spans="2:19">
      <c r="B1048" s="215"/>
      <c r="E1048" s="216"/>
      <c r="F1048" s="216"/>
      <c r="G1048" s="222"/>
      <c r="K1048" s="217"/>
      <c r="L1048" s="217"/>
      <c r="M1048" s="217"/>
      <c r="N1048" s="277"/>
      <c r="O1048" s="261"/>
      <c r="P1048" s="261"/>
      <c r="Q1048" s="345">
        <v>2813930009</v>
      </c>
      <c r="R1048" s="49" t="s">
        <v>1681</v>
      </c>
      <c r="S1048" s="349">
        <v>43.51</v>
      </c>
    </row>
    <row r="1049" spans="2:19">
      <c r="B1049" s="215"/>
      <c r="E1049" s="216"/>
      <c r="F1049" s="216"/>
      <c r="G1049" s="222"/>
      <c r="K1049" s="217"/>
      <c r="L1049" s="217"/>
      <c r="M1049" s="217"/>
      <c r="N1049" s="277"/>
      <c r="O1049" s="261"/>
      <c r="P1049" s="261"/>
      <c r="Q1049" s="345">
        <v>2813930010</v>
      </c>
      <c r="R1049" s="49" t="s">
        <v>1682</v>
      </c>
      <c r="S1049" s="349">
        <v>40.97</v>
      </c>
    </row>
    <row r="1050" spans="2:19">
      <c r="B1050" s="215"/>
      <c r="E1050" s="216"/>
      <c r="F1050" s="216"/>
      <c r="G1050" s="222"/>
      <c r="K1050" s="217"/>
      <c r="L1050" s="217"/>
      <c r="M1050" s="217"/>
      <c r="N1050" s="277"/>
      <c r="O1050" s="261"/>
      <c r="P1050" s="261"/>
      <c r="Q1050" s="345">
        <v>2813930011</v>
      </c>
      <c r="R1050" s="49" t="s">
        <v>1683</v>
      </c>
      <c r="S1050" s="349">
        <v>22.8</v>
      </c>
    </row>
    <row r="1051" spans="2:19">
      <c r="B1051" s="215"/>
      <c r="E1051" s="216"/>
      <c r="F1051" s="216"/>
      <c r="G1051" s="222"/>
      <c r="K1051" s="217"/>
      <c r="L1051" s="217"/>
      <c r="M1051" s="217"/>
      <c r="N1051" s="277"/>
      <c r="O1051" s="261"/>
      <c r="P1051" s="261"/>
      <c r="Q1051" s="345">
        <v>2813930012</v>
      </c>
      <c r="R1051" s="49" t="s">
        <v>1684</v>
      </c>
      <c r="S1051" s="349">
        <v>30.540000000000003</v>
      </c>
    </row>
    <row r="1052" spans="2:19">
      <c r="B1052" s="215"/>
      <c r="E1052" s="216"/>
      <c r="F1052" s="216"/>
      <c r="G1052" s="222"/>
      <c r="K1052" s="217"/>
      <c r="L1052" s="217"/>
      <c r="M1052" s="217"/>
      <c r="N1052" s="277"/>
      <c r="O1052" s="261"/>
      <c r="P1052" s="261"/>
      <c r="Q1052" s="345">
        <v>2813930013</v>
      </c>
      <c r="R1052" s="49" t="s">
        <v>1685</v>
      </c>
      <c r="S1052" s="349">
        <v>31.69</v>
      </c>
    </row>
    <row r="1053" spans="2:19">
      <c r="B1053" s="215"/>
      <c r="E1053" s="216"/>
      <c r="F1053" s="216"/>
      <c r="G1053" s="222"/>
      <c r="K1053" s="217"/>
      <c r="L1053" s="217"/>
      <c r="M1053" s="217"/>
      <c r="N1053" s="277"/>
      <c r="O1053" s="261"/>
      <c r="P1053" s="261"/>
      <c r="Q1053" s="345">
        <v>2813930014</v>
      </c>
      <c r="R1053" s="49" t="s">
        <v>1686</v>
      </c>
      <c r="S1053" s="349">
        <v>45.29</v>
      </c>
    </row>
    <row r="1054" spans="2:19">
      <c r="B1054" s="215"/>
      <c r="E1054" s="216"/>
      <c r="F1054" s="216"/>
      <c r="G1054" s="222"/>
      <c r="K1054" s="217"/>
      <c r="L1054" s="217"/>
      <c r="M1054" s="217"/>
      <c r="N1054" s="277"/>
      <c r="O1054" s="261"/>
      <c r="P1054" s="261"/>
      <c r="Q1054" s="345">
        <v>2813930015</v>
      </c>
      <c r="R1054" s="49" t="s">
        <v>1687</v>
      </c>
      <c r="S1054" s="349">
        <v>31.09</v>
      </c>
    </row>
    <row r="1055" spans="2:19">
      <c r="B1055" s="215"/>
      <c r="E1055" s="216"/>
      <c r="F1055" s="216"/>
      <c r="G1055" s="222"/>
      <c r="K1055" s="217"/>
      <c r="L1055" s="217"/>
      <c r="M1055" s="217"/>
      <c r="N1055" s="277"/>
      <c r="O1055" s="261"/>
      <c r="P1055" s="261"/>
      <c r="Q1055" s="345">
        <v>2813930016</v>
      </c>
      <c r="R1055" s="49" t="s">
        <v>1688</v>
      </c>
      <c r="S1055" s="349">
        <v>66.010000000000005</v>
      </c>
    </row>
    <row r="1056" spans="2:19">
      <c r="B1056" s="215"/>
      <c r="E1056" s="216"/>
      <c r="F1056" s="216"/>
      <c r="G1056" s="222"/>
      <c r="K1056" s="217"/>
      <c r="L1056" s="217"/>
      <c r="M1056" s="217"/>
      <c r="N1056" s="277"/>
      <c r="O1056" s="261"/>
      <c r="P1056" s="261"/>
      <c r="Q1056" s="345">
        <v>2813930017</v>
      </c>
      <c r="R1056" s="49" t="s">
        <v>1689</v>
      </c>
      <c r="S1056" s="349">
        <v>45.1</v>
      </c>
    </row>
    <row r="1057" spans="2:19">
      <c r="B1057" s="215"/>
      <c r="E1057" s="216"/>
      <c r="F1057" s="216"/>
      <c r="G1057" s="222"/>
      <c r="K1057" s="217"/>
      <c r="L1057" s="217"/>
      <c r="M1057" s="217"/>
      <c r="N1057" s="277"/>
      <c r="O1057" s="261"/>
      <c r="P1057" s="261"/>
      <c r="Q1057" s="345">
        <v>2813930018</v>
      </c>
      <c r="R1057" s="49" t="s">
        <v>1690</v>
      </c>
      <c r="S1057" s="349">
        <v>91.4</v>
      </c>
    </row>
    <row r="1058" spans="2:19">
      <c r="B1058" s="215"/>
      <c r="E1058" s="216"/>
      <c r="F1058" s="216"/>
      <c r="G1058" s="222"/>
      <c r="K1058" s="217"/>
      <c r="L1058" s="217"/>
      <c r="M1058" s="217"/>
      <c r="N1058" s="277"/>
      <c r="O1058" s="261"/>
      <c r="P1058" s="261"/>
      <c r="Q1058" s="345">
        <v>2813930019</v>
      </c>
      <c r="R1058" s="49" t="s">
        <v>1691</v>
      </c>
      <c r="S1058" s="349">
        <v>62.87</v>
      </c>
    </row>
    <row r="1059" spans="2:19">
      <c r="B1059" s="215"/>
      <c r="E1059" s="216"/>
      <c r="F1059" s="216"/>
      <c r="G1059" s="222"/>
      <c r="K1059" s="217"/>
      <c r="L1059" s="217"/>
      <c r="M1059" s="217"/>
      <c r="N1059" s="277"/>
      <c r="O1059" s="261"/>
      <c r="P1059" s="261"/>
      <c r="Q1059" s="345">
        <v>2813930020</v>
      </c>
      <c r="R1059" s="49" t="s">
        <v>1692</v>
      </c>
      <c r="S1059" s="349">
        <v>125</v>
      </c>
    </row>
    <row r="1060" spans="2:19">
      <c r="B1060" s="215"/>
      <c r="E1060" s="216"/>
      <c r="F1060" s="216"/>
      <c r="G1060" s="222"/>
      <c r="K1060" s="217"/>
      <c r="L1060" s="217"/>
      <c r="M1060" s="217"/>
      <c r="N1060" s="277"/>
      <c r="O1060" s="261"/>
      <c r="P1060" s="261"/>
      <c r="Q1060" s="345">
        <v>2813930021</v>
      </c>
      <c r="R1060" s="49" t="s">
        <v>1693</v>
      </c>
      <c r="S1060" s="349">
        <v>56.35</v>
      </c>
    </row>
    <row r="1061" spans="2:19">
      <c r="B1061" s="215"/>
      <c r="E1061" s="216"/>
      <c r="F1061" s="216"/>
      <c r="G1061" s="222"/>
      <c r="K1061" s="217"/>
      <c r="L1061" s="217"/>
      <c r="M1061" s="217"/>
      <c r="N1061" s="277"/>
      <c r="O1061" s="261"/>
      <c r="P1061" s="261"/>
      <c r="Q1061" s="345">
        <v>2813930022</v>
      </c>
      <c r="R1061" s="49" t="s">
        <v>1694</v>
      </c>
      <c r="S1061" s="349">
        <v>36.4</v>
      </c>
    </row>
    <row r="1062" spans="2:19">
      <c r="B1062" s="215"/>
      <c r="E1062" s="216"/>
      <c r="F1062" s="216"/>
      <c r="G1062" s="222"/>
      <c r="K1062" s="217"/>
      <c r="L1062" s="217"/>
      <c r="M1062" s="217"/>
      <c r="N1062" s="277"/>
      <c r="O1062" s="261"/>
      <c r="P1062" s="261"/>
      <c r="Q1062" s="345">
        <v>2813930023</v>
      </c>
      <c r="R1062" s="49" t="s">
        <v>1695</v>
      </c>
      <c r="S1062" s="349">
        <v>75.12</v>
      </c>
    </row>
    <row r="1063" spans="2:19">
      <c r="B1063" s="215"/>
      <c r="E1063" s="216"/>
      <c r="F1063" s="216"/>
      <c r="G1063" s="222"/>
      <c r="K1063" s="217"/>
      <c r="L1063" s="217"/>
      <c r="M1063" s="217"/>
      <c r="N1063" s="277"/>
      <c r="O1063" s="261"/>
      <c r="P1063" s="261"/>
      <c r="Q1063" s="345">
        <v>2813930024</v>
      </c>
      <c r="R1063" s="49" t="s">
        <v>1696</v>
      </c>
      <c r="S1063" s="349">
        <v>60.5</v>
      </c>
    </row>
    <row r="1064" spans="2:19">
      <c r="B1064" s="215"/>
      <c r="E1064" s="216"/>
      <c r="F1064" s="216"/>
      <c r="G1064" s="222"/>
      <c r="K1064" s="217"/>
      <c r="L1064" s="217"/>
      <c r="M1064" s="217"/>
      <c r="N1064" s="277"/>
      <c r="O1064" s="261"/>
      <c r="P1064" s="261"/>
      <c r="Q1064" s="345">
        <v>2813930025</v>
      </c>
      <c r="R1064" s="49" t="s">
        <v>1697</v>
      </c>
      <c r="S1064" s="349">
        <v>120.35000000000001</v>
      </c>
    </row>
    <row r="1065" spans="2:19">
      <c r="B1065" s="215"/>
      <c r="E1065" s="216"/>
      <c r="F1065" s="216"/>
      <c r="G1065" s="222"/>
      <c r="K1065" s="217"/>
      <c r="L1065" s="217"/>
      <c r="M1065" s="217"/>
      <c r="N1065" s="277"/>
      <c r="O1065" s="261"/>
      <c r="P1065" s="261"/>
      <c r="Q1065" s="345">
        <v>2813930026</v>
      </c>
      <c r="R1065" s="49" t="s">
        <v>1698</v>
      </c>
      <c r="S1065" s="349">
        <v>85.76</v>
      </c>
    </row>
    <row r="1066" spans="2:19">
      <c r="B1066" s="215"/>
      <c r="E1066" s="216"/>
      <c r="F1066" s="216"/>
      <c r="G1066" s="222"/>
      <c r="K1066" s="217"/>
      <c r="L1066" s="217"/>
      <c r="M1066" s="217"/>
      <c r="N1066" s="277"/>
      <c r="O1066" s="261"/>
      <c r="P1066" s="261"/>
      <c r="Q1066" s="345">
        <v>2813930027</v>
      </c>
      <c r="R1066" s="49" t="s">
        <v>1699</v>
      </c>
      <c r="S1066" s="349">
        <v>170.92</v>
      </c>
    </row>
    <row r="1067" spans="2:19">
      <c r="B1067" s="215"/>
      <c r="E1067" s="216"/>
      <c r="F1067" s="216"/>
      <c r="G1067" s="222"/>
      <c r="K1067" s="217"/>
      <c r="L1067" s="217"/>
      <c r="M1067" s="217"/>
      <c r="N1067" s="277"/>
      <c r="O1067" s="261"/>
      <c r="P1067" s="261"/>
      <c r="Q1067" s="345">
        <v>2813930028</v>
      </c>
      <c r="R1067" s="49" t="s">
        <v>1700</v>
      </c>
      <c r="S1067" s="349">
        <v>151.94</v>
      </c>
    </row>
    <row r="1068" spans="2:19">
      <c r="B1068" s="215"/>
      <c r="E1068" s="216"/>
      <c r="F1068" s="216"/>
      <c r="G1068" s="222"/>
      <c r="K1068" s="217"/>
      <c r="L1068" s="217"/>
      <c r="M1068" s="217"/>
      <c r="N1068" s="277"/>
      <c r="O1068" s="261"/>
      <c r="P1068" s="261"/>
      <c r="Q1068" s="345">
        <v>2813930029</v>
      </c>
      <c r="R1068" s="49" t="s">
        <v>1701</v>
      </c>
      <c r="S1068" s="349">
        <v>303.33999999999997</v>
      </c>
    </row>
    <row r="1069" spans="2:19">
      <c r="B1069" s="215"/>
      <c r="E1069" s="216"/>
      <c r="F1069" s="216"/>
      <c r="G1069" s="222"/>
      <c r="K1069" s="217"/>
      <c r="L1069" s="217"/>
      <c r="M1069" s="217"/>
      <c r="N1069" s="277"/>
      <c r="O1069" s="261"/>
      <c r="P1069" s="261"/>
      <c r="Q1069" s="345">
        <v>2813930030</v>
      </c>
      <c r="R1069" s="49" t="s">
        <v>1702</v>
      </c>
      <c r="S1069" s="349">
        <v>130.76</v>
      </c>
    </row>
    <row r="1070" spans="2:19">
      <c r="B1070" s="215"/>
      <c r="E1070" s="216"/>
      <c r="F1070" s="216"/>
      <c r="G1070" s="222"/>
      <c r="K1070" s="217"/>
      <c r="L1070" s="217"/>
      <c r="M1070" s="217"/>
      <c r="N1070" s="277"/>
      <c r="O1070" s="261"/>
      <c r="P1070" s="261"/>
      <c r="Q1070" s="345">
        <v>2813930031</v>
      </c>
      <c r="R1070" s="49" t="s">
        <v>1703</v>
      </c>
      <c r="S1070" s="349">
        <v>203</v>
      </c>
    </row>
    <row r="1071" spans="2:19">
      <c r="B1071" s="215"/>
      <c r="E1071" s="216"/>
      <c r="F1071" s="216"/>
      <c r="G1071" s="222"/>
      <c r="K1071" s="217"/>
      <c r="L1071" s="217"/>
      <c r="M1071" s="217"/>
      <c r="N1071" s="277"/>
      <c r="O1071" s="261"/>
      <c r="P1071" s="261"/>
      <c r="Q1071" s="345">
        <v>2813940000</v>
      </c>
      <c r="R1071" s="49" t="s">
        <v>1704</v>
      </c>
      <c r="S1071" s="349">
        <v>27.180000000000003</v>
      </c>
    </row>
    <row r="1072" spans="2:19">
      <c r="B1072" s="215"/>
      <c r="E1072" s="216"/>
      <c r="F1072" s="216"/>
      <c r="G1072" s="222"/>
      <c r="K1072" s="217"/>
      <c r="L1072" s="217"/>
      <c r="M1072" s="217"/>
      <c r="N1072" s="277"/>
      <c r="O1072" s="261"/>
      <c r="P1072" s="261"/>
      <c r="Q1072" s="345">
        <v>2813940001</v>
      </c>
      <c r="R1072" s="49" t="s">
        <v>1705</v>
      </c>
      <c r="S1072" s="349">
        <v>49.37</v>
      </c>
    </row>
    <row r="1073" spans="2:19">
      <c r="B1073" s="215"/>
      <c r="E1073" s="216"/>
      <c r="F1073" s="216"/>
      <c r="G1073" s="222"/>
      <c r="K1073" s="217"/>
      <c r="L1073" s="217"/>
      <c r="M1073" s="217"/>
      <c r="N1073" s="277"/>
      <c r="O1073" s="261"/>
      <c r="P1073" s="261"/>
      <c r="Q1073" s="345">
        <v>2813940002</v>
      </c>
      <c r="R1073" s="49" t="s">
        <v>1706</v>
      </c>
      <c r="S1073" s="349">
        <v>68.31</v>
      </c>
    </row>
    <row r="1074" spans="2:19">
      <c r="B1074" s="215"/>
      <c r="E1074" s="216"/>
      <c r="F1074" s="216"/>
      <c r="G1074" s="222"/>
      <c r="K1074" s="217"/>
      <c r="L1074" s="217"/>
      <c r="M1074" s="217"/>
      <c r="N1074" s="277"/>
      <c r="O1074" s="261"/>
      <c r="P1074" s="261"/>
      <c r="Q1074" s="345">
        <v>2813940003</v>
      </c>
      <c r="R1074" s="49" t="s">
        <v>1707</v>
      </c>
      <c r="S1074" s="349">
        <v>66.5</v>
      </c>
    </row>
    <row r="1075" spans="2:19">
      <c r="B1075" s="215"/>
      <c r="E1075" s="216"/>
      <c r="F1075" s="216"/>
      <c r="G1075" s="222"/>
      <c r="K1075" s="217"/>
      <c r="L1075" s="217"/>
      <c r="M1075" s="217"/>
      <c r="N1075" s="277"/>
      <c r="O1075" s="261"/>
      <c r="P1075" s="261"/>
      <c r="Q1075" s="345">
        <v>2813940004</v>
      </c>
      <c r="R1075" s="49" t="s">
        <v>1708</v>
      </c>
      <c r="S1075" s="349">
        <v>15.43</v>
      </c>
    </row>
    <row r="1076" spans="2:19">
      <c r="B1076" s="215"/>
      <c r="E1076" s="216"/>
      <c r="F1076" s="216"/>
      <c r="G1076" s="222"/>
      <c r="K1076" s="217"/>
      <c r="L1076" s="217"/>
      <c r="M1076" s="217"/>
      <c r="N1076" s="277"/>
      <c r="O1076" s="261"/>
      <c r="P1076" s="261"/>
      <c r="Q1076" s="345">
        <v>2813940005</v>
      </c>
      <c r="R1076" s="49" t="s">
        <v>1709</v>
      </c>
      <c r="S1076" s="349">
        <v>20.260000000000002</v>
      </c>
    </row>
    <row r="1077" spans="2:19">
      <c r="B1077" s="215"/>
      <c r="E1077" s="216"/>
      <c r="F1077" s="216"/>
      <c r="G1077" s="222"/>
      <c r="K1077" s="217"/>
      <c r="L1077" s="217"/>
      <c r="M1077" s="217"/>
      <c r="N1077" s="277"/>
      <c r="O1077" s="261"/>
      <c r="P1077" s="261"/>
      <c r="Q1077" s="345">
        <v>2813940006</v>
      </c>
      <c r="R1077" s="49" t="s">
        <v>1710</v>
      </c>
      <c r="S1077" s="349">
        <v>25.62</v>
      </c>
    </row>
    <row r="1078" spans="2:19">
      <c r="B1078" s="215"/>
      <c r="E1078" s="216"/>
      <c r="F1078" s="216"/>
      <c r="G1078" s="222"/>
      <c r="K1078" s="217"/>
      <c r="L1078" s="217"/>
      <c r="M1078" s="217"/>
      <c r="N1078" s="277"/>
      <c r="O1078" s="261"/>
      <c r="P1078" s="261"/>
      <c r="Q1078" s="345">
        <v>2813940007</v>
      </c>
      <c r="R1078" s="49" t="s">
        <v>1711</v>
      </c>
      <c r="S1078" s="349">
        <v>9.4700000000000006</v>
      </c>
    </row>
    <row r="1079" spans="2:19">
      <c r="B1079" s="215"/>
      <c r="E1079" s="216"/>
      <c r="F1079" s="216"/>
      <c r="G1079" s="222"/>
      <c r="K1079" s="217"/>
      <c r="L1079" s="217"/>
      <c r="M1079" s="217"/>
      <c r="N1079" s="277"/>
      <c r="O1079" s="261"/>
      <c r="P1079" s="261"/>
      <c r="Q1079" s="345">
        <v>2813940008</v>
      </c>
      <c r="R1079" s="49" t="s">
        <v>1712</v>
      </c>
      <c r="S1079" s="349">
        <v>14.94</v>
      </c>
    </row>
    <row r="1080" spans="2:19">
      <c r="B1080" s="215"/>
      <c r="E1080" s="216"/>
      <c r="F1080" s="216"/>
      <c r="G1080" s="222"/>
      <c r="K1080" s="217"/>
      <c r="L1080" s="217"/>
      <c r="M1080" s="217"/>
      <c r="N1080" s="277"/>
      <c r="O1080" s="261"/>
      <c r="P1080" s="261"/>
      <c r="Q1080" s="345">
        <v>2813940009</v>
      </c>
      <c r="R1080" s="49" t="s">
        <v>1713</v>
      </c>
      <c r="S1080" s="349">
        <v>20.420000000000002</v>
      </c>
    </row>
    <row r="1081" spans="2:19">
      <c r="B1081" s="215"/>
      <c r="E1081" s="216"/>
      <c r="F1081" s="216"/>
      <c r="G1081" s="222"/>
      <c r="K1081" s="217"/>
      <c r="L1081" s="217"/>
      <c r="M1081" s="217"/>
      <c r="N1081" s="277"/>
      <c r="O1081" s="261"/>
      <c r="P1081" s="261"/>
      <c r="Q1081" s="345">
        <v>2813940010</v>
      </c>
      <c r="R1081" s="49" t="s">
        <v>1714</v>
      </c>
      <c r="S1081" s="349">
        <v>51.65</v>
      </c>
    </row>
    <row r="1082" spans="2:19">
      <c r="B1082" s="215"/>
      <c r="E1082" s="216"/>
      <c r="F1082" s="216"/>
      <c r="G1082" s="222"/>
      <c r="K1082" s="217"/>
      <c r="L1082" s="217"/>
      <c r="M1082" s="217"/>
      <c r="N1082" s="277"/>
      <c r="O1082" s="261"/>
      <c r="P1082" s="261"/>
      <c r="Q1082" s="345">
        <v>2813940011</v>
      </c>
      <c r="R1082" s="49" t="s">
        <v>1715</v>
      </c>
      <c r="S1082" s="349">
        <v>55.669999999999995</v>
      </c>
    </row>
    <row r="1083" spans="2:19">
      <c r="B1083" s="215"/>
      <c r="E1083" s="216"/>
      <c r="F1083" s="216"/>
      <c r="G1083" s="222"/>
      <c r="K1083" s="217"/>
      <c r="L1083" s="217"/>
      <c r="M1083" s="217"/>
      <c r="N1083" s="277"/>
      <c r="O1083" s="261"/>
      <c r="P1083" s="261"/>
      <c r="Q1083" s="345">
        <v>2813940012</v>
      </c>
      <c r="R1083" s="49" t="s">
        <v>1716</v>
      </c>
      <c r="S1083" s="349">
        <v>56.72</v>
      </c>
    </row>
    <row r="1084" spans="2:19">
      <c r="B1084" s="215"/>
      <c r="E1084" s="216"/>
      <c r="F1084" s="216"/>
      <c r="G1084" s="222"/>
      <c r="K1084" s="217"/>
      <c r="L1084" s="217"/>
      <c r="M1084" s="217"/>
      <c r="N1084" s="277"/>
      <c r="O1084" s="261"/>
      <c r="P1084" s="261"/>
      <c r="Q1084" s="345">
        <v>2813940013</v>
      </c>
      <c r="R1084" s="49" t="s">
        <v>1717</v>
      </c>
      <c r="S1084" s="349">
        <v>62.79</v>
      </c>
    </row>
    <row r="1085" spans="2:19">
      <c r="B1085" s="215"/>
      <c r="E1085" s="216"/>
      <c r="F1085" s="216"/>
      <c r="G1085" s="222"/>
      <c r="K1085" s="217"/>
      <c r="L1085" s="217"/>
      <c r="M1085" s="217"/>
      <c r="N1085" s="277"/>
      <c r="O1085" s="261"/>
      <c r="P1085" s="261"/>
      <c r="Q1085" s="345">
        <v>2813940014</v>
      </c>
      <c r="R1085" s="49" t="s">
        <v>1718</v>
      </c>
      <c r="S1085" s="349">
        <v>46.5</v>
      </c>
    </row>
    <row r="1086" spans="2:19">
      <c r="B1086" s="215"/>
      <c r="E1086" s="216"/>
      <c r="F1086" s="216"/>
      <c r="G1086" s="222"/>
      <c r="K1086" s="217"/>
      <c r="L1086" s="217"/>
      <c r="M1086" s="217"/>
      <c r="N1086" s="277"/>
      <c r="O1086" s="261"/>
      <c r="P1086" s="261"/>
      <c r="Q1086" s="345">
        <v>2813940015</v>
      </c>
      <c r="R1086" s="49" t="s">
        <v>1719</v>
      </c>
      <c r="S1086" s="349">
        <v>52.309999999999995</v>
      </c>
    </row>
    <row r="1087" spans="2:19">
      <c r="B1087" s="215"/>
      <c r="E1087" s="216"/>
      <c r="F1087" s="216"/>
      <c r="G1087" s="222"/>
      <c r="K1087" s="217"/>
      <c r="L1087" s="217"/>
      <c r="M1087" s="217"/>
      <c r="N1087" s="277"/>
      <c r="O1087" s="261"/>
      <c r="P1087" s="261"/>
      <c r="Q1087" s="345">
        <v>2813940016</v>
      </c>
      <c r="R1087" s="49" t="s">
        <v>1720</v>
      </c>
      <c r="S1087" s="349">
        <v>93.93</v>
      </c>
    </row>
    <row r="1088" spans="2:19">
      <c r="B1088" s="215"/>
      <c r="E1088" s="216"/>
      <c r="F1088" s="216"/>
      <c r="G1088" s="222"/>
      <c r="K1088" s="217"/>
      <c r="L1088" s="217"/>
      <c r="M1088" s="217"/>
      <c r="N1088" s="277"/>
      <c r="O1088" s="261"/>
      <c r="P1088" s="261"/>
      <c r="Q1088" s="345">
        <v>2813940017</v>
      </c>
      <c r="R1088" s="49" t="s">
        <v>1721</v>
      </c>
      <c r="S1088" s="349">
        <v>136.59</v>
      </c>
    </row>
    <row r="1089" spans="2:19">
      <c r="B1089" s="215"/>
      <c r="E1089" s="216"/>
      <c r="F1089" s="216"/>
      <c r="G1089" s="222"/>
      <c r="K1089" s="217"/>
      <c r="L1089" s="217"/>
      <c r="M1089" s="217"/>
      <c r="N1089" s="277"/>
      <c r="O1089" s="261"/>
      <c r="P1089" s="261"/>
      <c r="Q1089" s="345">
        <v>2813950000</v>
      </c>
      <c r="R1089" s="49" t="s">
        <v>1722</v>
      </c>
      <c r="S1089" s="349">
        <v>141.89999999999998</v>
      </c>
    </row>
    <row r="1090" spans="2:19">
      <c r="B1090" s="215"/>
      <c r="E1090" s="216"/>
      <c r="F1090" s="216"/>
      <c r="G1090" s="222"/>
      <c r="K1090" s="217"/>
      <c r="L1090" s="217"/>
      <c r="M1090" s="217"/>
      <c r="O1090" s="261"/>
      <c r="P1090" s="261"/>
      <c r="Q1090" s="345">
        <v>2813950001</v>
      </c>
      <c r="R1090" s="49" t="s">
        <v>1723</v>
      </c>
      <c r="S1090" s="343">
        <v>349.66</v>
      </c>
    </row>
    <row r="1091" spans="2:19">
      <c r="B1091" s="215"/>
      <c r="E1091" s="216"/>
      <c r="F1091" s="216"/>
      <c r="G1091" s="222"/>
      <c r="K1091" s="217"/>
      <c r="L1091" s="217"/>
      <c r="M1091" s="217"/>
      <c r="O1091" s="261"/>
      <c r="P1091" s="261"/>
      <c r="Q1091" s="345">
        <v>2813950002</v>
      </c>
      <c r="R1091" s="49" t="s">
        <v>1724</v>
      </c>
      <c r="S1091" s="349">
        <v>221.67</v>
      </c>
    </row>
    <row r="1092" spans="2:19">
      <c r="B1092" s="215"/>
      <c r="E1092" s="216"/>
      <c r="F1092" s="216"/>
      <c r="G1092" s="222"/>
      <c r="K1092" s="217"/>
      <c r="L1092" s="217"/>
      <c r="M1092" s="217"/>
      <c r="O1092" s="261"/>
      <c r="P1092" s="261"/>
      <c r="Q1092" s="345">
        <v>2813950003</v>
      </c>
      <c r="R1092" s="49" t="s">
        <v>1725</v>
      </c>
      <c r="S1092" s="349">
        <v>273.03999999999996</v>
      </c>
    </row>
    <row r="1093" spans="2:19">
      <c r="B1093" s="215"/>
      <c r="E1093" s="216"/>
      <c r="F1093" s="216"/>
      <c r="G1093" s="222"/>
      <c r="K1093" s="217"/>
      <c r="L1093" s="217"/>
      <c r="M1093" s="217"/>
      <c r="O1093" s="261"/>
      <c r="P1093" s="261"/>
      <c r="Q1093" s="345">
        <v>2813950004</v>
      </c>
      <c r="R1093" s="49" t="s">
        <v>1726</v>
      </c>
      <c r="S1093" s="349">
        <v>436.23</v>
      </c>
    </row>
    <row r="1094" spans="2:19">
      <c r="B1094" s="215"/>
      <c r="E1094" s="216"/>
      <c r="F1094" s="216"/>
      <c r="G1094" s="222"/>
      <c r="K1094" s="217"/>
      <c r="L1094" s="217"/>
      <c r="M1094" s="217"/>
      <c r="O1094" s="261"/>
      <c r="P1094" s="261"/>
      <c r="Q1094" s="345">
        <v>2813950005</v>
      </c>
      <c r="R1094" s="49" t="s">
        <v>1725</v>
      </c>
      <c r="S1094" s="349">
        <v>540.81999999999994</v>
      </c>
    </row>
    <row r="1095" spans="2:19">
      <c r="B1095" s="215"/>
      <c r="E1095" s="216"/>
      <c r="F1095" s="216"/>
      <c r="G1095" s="222"/>
      <c r="K1095" s="217"/>
      <c r="L1095" s="217"/>
      <c r="M1095" s="217"/>
      <c r="O1095" s="261"/>
      <c r="P1095" s="261"/>
      <c r="Q1095" s="345">
        <v>2813950006</v>
      </c>
      <c r="R1095" s="49" t="s">
        <v>1727</v>
      </c>
      <c r="S1095" s="349">
        <v>732.25</v>
      </c>
    </row>
    <row r="1096" spans="2:19">
      <c r="B1096" s="215"/>
      <c r="E1096" s="216"/>
      <c r="F1096" s="216"/>
      <c r="G1096" s="222"/>
      <c r="K1096" s="217"/>
      <c r="L1096" s="217"/>
      <c r="M1096" s="217"/>
      <c r="O1096" s="261"/>
      <c r="P1096" s="261"/>
      <c r="Q1096" s="345">
        <v>2813950007</v>
      </c>
      <c r="R1096" s="49" t="s">
        <v>1728</v>
      </c>
      <c r="S1096" s="349">
        <v>738.05</v>
      </c>
    </row>
    <row r="1097" spans="2:19">
      <c r="B1097" s="215"/>
      <c r="E1097" s="216"/>
      <c r="F1097" s="216"/>
      <c r="G1097" s="222"/>
      <c r="K1097" s="217"/>
      <c r="L1097" s="217"/>
      <c r="M1097" s="217"/>
      <c r="O1097" s="261"/>
      <c r="P1097" s="261"/>
      <c r="Q1097" s="345">
        <v>2813950008</v>
      </c>
      <c r="R1097" s="49" t="s">
        <v>1729</v>
      </c>
      <c r="S1097" s="349">
        <v>70</v>
      </c>
    </row>
    <row r="1098" spans="2:19">
      <c r="B1098" s="215"/>
      <c r="E1098" s="216"/>
      <c r="F1098" s="216"/>
      <c r="G1098" s="222"/>
      <c r="K1098" s="217"/>
      <c r="L1098" s="217"/>
      <c r="M1098" s="217"/>
      <c r="O1098" s="261"/>
      <c r="P1098" s="261"/>
      <c r="Q1098" s="345">
        <v>2813960000</v>
      </c>
      <c r="R1098" s="49" t="s">
        <v>1730</v>
      </c>
      <c r="S1098" s="343">
        <v>78.900000000000006</v>
      </c>
    </row>
    <row r="1099" spans="2:19">
      <c r="B1099" s="215"/>
      <c r="E1099" s="216"/>
      <c r="F1099" s="216"/>
      <c r="G1099" s="222"/>
      <c r="K1099" s="217"/>
      <c r="L1099" s="217"/>
      <c r="M1099" s="217"/>
      <c r="O1099" s="261"/>
      <c r="P1099" s="261"/>
      <c r="Q1099" s="345">
        <v>2813960001</v>
      </c>
      <c r="R1099" s="49" t="s">
        <v>1731</v>
      </c>
      <c r="S1099" s="343">
        <v>82.18</v>
      </c>
    </row>
    <row r="1100" spans="2:19">
      <c r="B1100" s="215"/>
      <c r="E1100" s="216"/>
      <c r="F1100" s="216"/>
      <c r="G1100" s="222"/>
      <c r="K1100" s="217"/>
      <c r="L1100" s="217"/>
      <c r="M1100" s="217"/>
      <c r="O1100" s="261"/>
      <c r="P1100" s="261"/>
      <c r="Q1100" s="345">
        <v>2813960002</v>
      </c>
      <c r="R1100" s="49" t="s">
        <v>1732</v>
      </c>
      <c r="S1100" s="343">
        <v>85.47</v>
      </c>
    </row>
    <row r="1101" spans="2:19">
      <c r="B1101" s="215"/>
      <c r="E1101" s="216"/>
      <c r="F1101" s="216"/>
      <c r="G1101" s="222"/>
      <c r="K1101" s="217"/>
      <c r="L1101" s="217"/>
      <c r="M1101" s="217"/>
      <c r="O1101" s="261"/>
      <c r="P1101" s="261"/>
      <c r="Q1101" s="345">
        <v>2813960003</v>
      </c>
      <c r="R1101" s="49" t="s">
        <v>1733</v>
      </c>
      <c r="S1101" s="343">
        <v>220.25</v>
      </c>
    </row>
    <row r="1102" spans="2:19">
      <c r="B1102" s="215"/>
      <c r="E1102" s="216"/>
      <c r="F1102" s="216"/>
      <c r="G1102" s="222"/>
      <c r="K1102" s="217"/>
      <c r="L1102" s="217"/>
      <c r="M1102" s="217"/>
      <c r="O1102" s="261"/>
      <c r="P1102" s="261"/>
      <c r="Q1102" s="345">
        <v>2813960004</v>
      </c>
      <c r="R1102" s="49" t="s">
        <v>1734</v>
      </c>
      <c r="S1102" s="343">
        <v>230.12</v>
      </c>
    </row>
    <row r="1103" spans="2:19">
      <c r="B1103" s="215"/>
      <c r="E1103" s="216"/>
      <c r="F1103" s="216"/>
      <c r="G1103" s="222"/>
      <c r="K1103" s="217"/>
      <c r="L1103" s="217"/>
      <c r="M1103" s="217"/>
      <c r="O1103" s="261"/>
      <c r="P1103" s="261"/>
      <c r="Q1103" s="345">
        <v>2813960005</v>
      </c>
      <c r="R1103" s="49" t="s">
        <v>1735</v>
      </c>
      <c r="S1103" s="343">
        <v>233.41</v>
      </c>
    </row>
    <row r="1104" spans="2:19">
      <c r="B1104" s="215"/>
      <c r="E1104" s="216"/>
      <c r="F1104" s="216"/>
      <c r="G1104" s="222"/>
      <c r="K1104" s="217"/>
      <c r="L1104" s="217"/>
      <c r="M1104" s="217"/>
      <c r="O1104" s="261"/>
      <c r="P1104" s="261"/>
      <c r="Q1104" s="345">
        <v>2813960006</v>
      </c>
      <c r="R1104" s="49" t="s">
        <v>1736</v>
      </c>
      <c r="S1104" s="343">
        <v>293.76</v>
      </c>
    </row>
    <row r="1105" spans="2:19">
      <c r="B1105" s="215"/>
      <c r="E1105" s="216"/>
      <c r="F1105" s="216"/>
      <c r="G1105" s="222"/>
      <c r="K1105" s="217"/>
      <c r="L1105" s="217"/>
      <c r="M1105" s="217"/>
      <c r="O1105" s="261"/>
      <c r="P1105" s="261"/>
      <c r="Q1105" s="345">
        <v>2813960007</v>
      </c>
      <c r="R1105" s="49" t="s">
        <v>1737</v>
      </c>
      <c r="S1105" s="343">
        <v>304.70999999999998</v>
      </c>
    </row>
    <row r="1106" spans="2:19">
      <c r="B1106" s="215"/>
      <c r="E1106" s="216"/>
      <c r="F1106" s="216"/>
      <c r="G1106" s="222"/>
      <c r="K1106" s="217"/>
      <c r="L1106" s="217"/>
      <c r="M1106" s="217"/>
      <c r="O1106" s="261"/>
      <c r="P1106" s="261"/>
      <c r="Q1106" s="345">
        <v>2813960008</v>
      </c>
      <c r="R1106" s="49" t="s">
        <v>1738</v>
      </c>
      <c r="S1106" s="343">
        <v>313.88</v>
      </c>
    </row>
    <row r="1107" spans="2:19">
      <c r="B1107" s="215"/>
      <c r="E1107" s="216"/>
      <c r="F1107" s="216"/>
      <c r="G1107" s="222"/>
      <c r="K1107" s="217"/>
      <c r="L1107" s="217"/>
      <c r="M1107" s="217"/>
      <c r="Q1107" s="345">
        <v>2813960009</v>
      </c>
      <c r="R1107" s="49" t="s">
        <v>1739</v>
      </c>
      <c r="S1107" s="349">
        <v>590.93999999999994</v>
      </c>
    </row>
    <row r="1108" spans="2:19">
      <c r="B1108" s="215"/>
      <c r="E1108" s="216"/>
      <c r="F1108" s="216"/>
      <c r="G1108" s="222"/>
      <c r="K1108" s="217"/>
      <c r="L1108" s="217"/>
      <c r="M1108" s="217"/>
      <c r="Q1108" s="345">
        <v>2813960010</v>
      </c>
      <c r="R1108" s="49" t="s">
        <v>1740</v>
      </c>
      <c r="S1108" s="349">
        <v>709.95</v>
      </c>
    </row>
    <row r="1109" spans="2:19">
      <c r="B1109" s="215"/>
      <c r="E1109" s="216"/>
      <c r="F1109" s="216"/>
      <c r="G1109" s="222"/>
      <c r="K1109" s="217"/>
      <c r="L1109" s="217"/>
      <c r="M1109" s="217"/>
      <c r="Q1109" s="345">
        <v>2813960011</v>
      </c>
      <c r="R1109" s="49" t="s">
        <v>1741</v>
      </c>
      <c r="S1109" s="349">
        <v>269.76</v>
      </c>
    </row>
    <row r="1110" spans="2:19">
      <c r="B1110" s="215"/>
      <c r="E1110" s="216"/>
      <c r="F1110" s="216"/>
      <c r="G1110" s="222"/>
      <c r="K1110" s="217"/>
      <c r="L1110" s="217"/>
      <c r="M1110" s="217"/>
    </row>
    <row r="1111" spans="2:19">
      <c r="B1111" s="215"/>
      <c r="E1111" s="216"/>
      <c r="F1111" s="216"/>
      <c r="G1111" s="222"/>
      <c r="K1111" s="217"/>
      <c r="L1111" s="217"/>
      <c r="M1111" s="217"/>
    </row>
    <row r="1112" spans="2:19">
      <c r="B1112" s="215"/>
      <c r="E1112" s="216"/>
      <c r="F1112" s="216"/>
      <c r="G1112" s="222"/>
      <c r="K1112" s="217"/>
      <c r="L1112" s="217"/>
      <c r="M1112" s="217"/>
    </row>
    <row r="1113" spans="2:19">
      <c r="B1113" s="215"/>
      <c r="E1113" s="216"/>
      <c r="F1113" s="216"/>
      <c r="G1113" s="222"/>
      <c r="K1113" s="217"/>
      <c r="L1113" s="217"/>
      <c r="M1113" s="217"/>
    </row>
    <row r="1114" spans="2:19">
      <c r="B1114" s="215"/>
      <c r="E1114" s="216"/>
      <c r="F1114" s="216"/>
      <c r="G1114" s="222"/>
      <c r="K1114" s="217"/>
      <c r="L1114" s="217"/>
      <c r="M1114" s="217"/>
    </row>
    <row r="1115" spans="2:19">
      <c r="B1115" s="215"/>
      <c r="E1115" s="216"/>
      <c r="F1115" s="216"/>
      <c r="G1115" s="222"/>
      <c r="K1115" s="217"/>
      <c r="L1115" s="217"/>
      <c r="M1115" s="217"/>
    </row>
    <row r="1116" spans="2:19">
      <c r="B1116" s="215"/>
      <c r="E1116" s="216"/>
      <c r="F1116" s="216"/>
      <c r="G1116" s="222"/>
      <c r="K1116" s="217"/>
      <c r="L1116" s="217"/>
      <c r="M1116" s="217"/>
    </row>
    <row r="1117" spans="2:19">
      <c r="B1117" s="215"/>
      <c r="E1117" s="216"/>
      <c r="F1117" s="216"/>
      <c r="G1117" s="222"/>
      <c r="K1117" s="217"/>
      <c r="L1117" s="217"/>
      <c r="M1117" s="217"/>
    </row>
    <row r="1118" spans="2:19">
      <c r="B1118" s="215"/>
      <c r="E1118" s="216"/>
      <c r="F1118" s="216"/>
      <c r="G1118" s="222"/>
      <c r="K1118" s="217"/>
      <c r="L1118" s="217"/>
      <c r="M1118" s="217"/>
    </row>
    <row r="1119" spans="2:19">
      <c r="B1119" s="215"/>
      <c r="E1119" s="216"/>
      <c r="F1119" s="216"/>
      <c r="G1119" s="222"/>
      <c r="K1119" s="217"/>
      <c r="L1119" s="217"/>
      <c r="M1119" s="217"/>
    </row>
    <row r="1120" spans="2:19">
      <c r="B1120" s="215"/>
      <c r="E1120" s="216"/>
      <c r="F1120" s="216"/>
      <c r="G1120" s="222"/>
      <c r="K1120" s="217"/>
      <c r="L1120" s="217"/>
      <c r="M1120" s="217"/>
    </row>
    <row r="1121" spans="2:13">
      <c r="B1121" s="215"/>
      <c r="E1121" s="216"/>
      <c r="F1121" s="216"/>
      <c r="G1121" s="222"/>
      <c r="K1121" s="217"/>
      <c r="L1121" s="217"/>
      <c r="M1121" s="217"/>
    </row>
    <row r="1122" spans="2:13">
      <c r="B1122" s="215"/>
      <c r="E1122" s="216"/>
      <c r="F1122" s="216"/>
      <c r="G1122" s="222"/>
      <c r="K1122" s="217"/>
      <c r="L1122" s="217"/>
      <c r="M1122" s="217"/>
    </row>
    <row r="1123" spans="2:13">
      <c r="B1123" s="215"/>
      <c r="E1123" s="216"/>
      <c r="F1123" s="216"/>
      <c r="G1123" s="222"/>
      <c r="K1123" s="217"/>
      <c r="L1123" s="217"/>
      <c r="M1123" s="217"/>
    </row>
    <row r="1124" spans="2:13">
      <c r="B1124" s="215"/>
      <c r="E1124" s="216"/>
      <c r="F1124" s="216"/>
      <c r="G1124" s="222"/>
      <c r="K1124" s="217"/>
      <c r="L1124" s="217"/>
      <c r="M1124" s="217"/>
    </row>
    <row r="1125" spans="2:13">
      <c r="B1125" s="215"/>
      <c r="E1125" s="216"/>
      <c r="F1125" s="216"/>
      <c r="G1125" s="222"/>
      <c r="K1125" s="217"/>
      <c r="L1125" s="217"/>
      <c r="M1125" s="217"/>
    </row>
    <row r="1126" spans="2:13">
      <c r="B1126" s="215"/>
      <c r="E1126" s="216"/>
      <c r="F1126" s="216"/>
      <c r="G1126" s="222"/>
      <c r="K1126" s="217"/>
      <c r="L1126" s="217"/>
      <c r="M1126" s="217"/>
    </row>
    <row r="1127" spans="2:13">
      <c r="B1127" s="215"/>
      <c r="E1127" s="216"/>
      <c r="F1127" s="216"/>
      <c r="G1127" s="222"/>
      <c r="K1127" s="217"/>
      <c r="L1127" s="217"/>
      <c r="M1127" s="217"/>
    </row>
    <row r="1128" spans="2:13">
      <c r="B1128" s="215"/>
      <c r="E1128" s="216"/>
      <c r="F1128" s="216"/>
      <c r="G1128" s="222"/>
      <c r="K1128" s="217"/>
      <c r="L1128" s="217"/>
      <c r="M1128" s="217"/>
    </row>
    <row r="1129" spans="2:13">
      <c r="B1129" s="215"/>
      <c r="E1129" s="216"/>
      <c r="F1129" s="216"/>
      <c r="G1129" s="222"/>
      <c r="K1129" s="217"/>
      <c r="L1129" s="217"/>
      <c r="M1129" s="217"/>
    </row>
    <row r="1130" spans="2:13">
      <c r="B1130" s="215"/>
      <c r="E1130" s="216"/>
      <c r="F1130" s="216"/>
      <c r="G1130" s="222"/>
      <c r="K1130" s="217"/>
      <c r="L1130" s="217"/>
      <c r="M1130" s="217"/>
    </row>
    <row r="1131" spans="2:13">
      <c r="B1131" s="215"/>
      <c r="E1131" s="216"/>
      <c r="F1131" s="216"/>
      <c r="G1131" s="222"/>
      <c r="K1131" s="217"/>
      <c r="L1131" s="217"/>
      <c r="M1131" s="217"/>
    </row>
    <row r="1132" spans="2:13">
      <c r="B1132" s="215"/>
      <c r="E1132" s="216"/>
      <c r="F1132" s="216"/>
      <c r="G1132" s="222"/>
      <c r="K1132" s="217"/>
      <c r="L1132" s="217"/>
      <c r="M1132" s="217"/>
    </row>
    <row r="1133" spans="2:13">
      <c r="B1133" s="215"/>
      <c r="E1133" s="216"/>
      <c r="F1133" s="216"/>
      <c r="G1133" s="222"/>
      <c r="K1133" s="217"/>
      <c r="L1133" s="217"/>
      <c r="M1133" s="217"/>
    </row>
    <row r="1134" spans="2:13">
      <c r="B1134" s="215"/>
      <c r="E1134" s="216"/>
      <c r="F1134" s="216"/>
      <c r="G1134" s="222"/>
      <c r="K1134" s="217"/>
      <c r="L1134" s="217"/>
      <c r="M1134" s="217"/>
    </row>
    <row r="1135" spans="2:13">
      <c r="B1135" s="215"/>
      <c r="E1135" s="216"/>
      <c r="F1135" s="216"/>
      <c r="G1135" s="222"/>
      <c r="K1135" s="217"/>
      <c r="L1135" s="217"/>
      <c r="M1135" s="217"/>
    </row>
    <row r="1136" spans="2:13">
      <c r="B1136" s="215"/>
      <c r="E1136" s="216"/>
      <c r="F1136" s="216"/>
      <c r="G1136" s="222"/>
      <c r="K1136" s="217"/>
      <c r="L1136" s="217"/>
      <c r="M1136" s="217"/>
    </row>
    <row r="1137" spans="2:13">
      <c r="B1137" s="215"/>
      <c r="E1137" s="216"/>
      <c r="F1137" s="216"/>
      <c r="G1137" s="222"/>
      <c r="K1137" s="217"/>
      <c r="L1137" s="217"/>
      <c r="M1137" s="217"/>
    </row>
    <row r="1138" spans="2:13">
      <c r="B1138" s="215"/>
      <c r="E1138" s="216"/>
      <c r="F1138" s="216"/>
      <c r="G1138" s="222"/>
      <c r="K1138" s="217"/>
      <c r="L1138" s="217"/>
      <c r="M1138" s="217"/>
    </row>
    <row r="1139" spans="2:13">
      <c r="B1139" s="215"/>
      <c r="E1139" s="216"/>
      <c r="F1139" s="216"/>
      <c r="G1139" s="222"/>
      <c r="K1139" s="217"/>
      <c r="L1139" s="217"/>
      <c r="M1139" s="217"/>
    </row>
    <row r="1140" spans="2:13">
      <c r="B1140" s="215"/>
      <c r="E1140" s="216"/>
      <c r="F1140" s="216"/>
      <c r="G1140" s="222"/>
      <c r="K1140" s="217"/>
      <c r="L1140" s="217"/>
      <c r="M1140" s="217"/>
    </row>
    <row r="1141" spans="2:13">
      <c r="B1141" s="215"/>
      <c r="E1141" s="216"/>
      <c r="F1141" s="216"/>
      <c r="G1141" s="222"/>
      <c r="K1141" s="217"/>
      <c r="L1141" s="217"/>
      <c r="M1141" s="217"/>
    </row>
    <row r="1142" spans="2:13">
      <c r="B1142" s="215"/>
      <c r="E1142" s="216"/>
      <c r="F1142" s="216"/>
      <c r="G1142" s="222"/>
      <c r="K1142" s="217"/>
      <c r="L1142" s="217"/>
      <c r="M1142" s="217"/>
    </row>
    <row r="1143" spans="2:13">
      <c r="B1143" s="215"/>
      <c r="E1143" s="216"/>
      <c r="F1143" s="216"/>
      <c r="G1143" s="222"/>
      <c r="K1143" s="217"/>
      <c r="L1143" s="217"/>
      <c r="M1143" s="217"/>
    </row>
    <row r="1144" spans="2:13">
      <c r="B1144" s="215"/>
      <c r="E1144" s="216"/>
      <c r="F1144" s="216"/>
      <c r="G1144" s="222"/>
      <c r="K1144" s="217"/>
      <c r="L1144" s="217"/>
      <c r="M1144" s="217"/>
    </row>
    <row r="1145" spans="2:13">
      <c r="B1145" s="215"/>
      <c r="E1145" s="216"/>
      <c r="F1145" s="216"/>
      <c r="G1145" s="222"/>
      <c r="K1145" s="217"/>
      <c r="L1145" s="217"/>
      <c r="M1145" s="217"/>
    </row>
    <row r="1146" spans="2:13">
      <c r="B1146" s="215"/>
      <c r="E1146" s="216"/>
      <c r="F1146" s="216"/>
      <c r="G1146" s="222"/>
      <c r="K1146" s="217"/>
      <c r="L1146" s="217"/>
      <c r="M1146" s="217"/>
    </row>
    <row r="1147" spans="2:13">
      <c r="B1147" s="215"/>
      <c r="E1147" s="216"/>
      <c r="F1147" s="216"/>
      <c r="G1147" s="222"/>
      <c r="K1147" s="217"/>
      <c r="L1147" s="217"/>
      <c r="M1147" s="217"/>
    </row>
    <row r="1148" spans="2:13">
      <c r="B1148" s="215"/>
      <c r="E1148" s="216"/>
      <c r="F1148" s="216"/>
      <c r="G1148" s="222"/>
      <c r="K1148" s="217"/>
      <c r="L1148" s="217"/>
      <c r="M1148" s="217"/>
    </row>
    <row r="1149" spans="2:13">
      <c r="B1149" s="215"/>
      <c r="E1149" s="216"/>
      <c r="F1149" s="216"/>
      <c r="G1149" s="222"/>
      <c r="K1149" s="217"/>
      <c r="L1149" s="217"/>
      <c r="M1149" s="217"/>
    </row>
    <row r="1150" spans="2:13">
      <c r="B1150" s="215"/>
      <c r="E1150" s="216"/>
      <c r="F1150" s="216"/>
      <c r="G1150" s="222"/>
      <c r="K1150" s="217"/>
      <c r="L1150" s="217"/>
      <c r="M1150" s="217"/>
    </row>
    <row r="1151" spans="2:13">
      <c r="B1151" s="215"/>
      <c r="E1151" s="216"/>
      <c r="F1151" s="216"/>
      <c r="G1151" s="222"/>
      <c r="K1151" s="217"/>
      <c r="L1151" s="217"/>
      <c r="M1151" s="217"/>
    </row>
    <row r="1152" spans="2:13">
      <c r="B1152" s="215"/>
      <c r="E1152" s="216"/>
      <c r="F1152" s="216"/>
      <c r="G1152" s="222"/>
      <c r="K1152" s="217"/>
      <c r="L1152" s="217"/>
      <c r="M1152" s="217"/>
    </row>
    <row r="1153" spans="2:13">
      <c r="B1153" s="215"/>
      <c r="E1153" s="216"/>
      <c r="F1153" s="216"/>
      <c r="G1153" s="222"/>
      <c r="K1153" s="217"/>
      <c r="L1153" s="217"/>
      <c r="M1153" s="217"/>
    </row>
    <row r="1154" spans="2:13">
      <c r="B1154" s="215"/>
      <c r="E1154" s="216"/>
      <c r="F1154" s="216"/>
      <c r="G1154" s="222"/>
      <c r="K1154" s="217"/>
      <c r="L1154" s="217"/>
      <c r="M1154" s="217"/>
    </row>
    <row r="1155" spans="2:13">
      <c r="B1155" s="215"/>
      <c r="E1155" s="216"/>
      <c r="F1155" s="216"/>
      <c r="G1155" s="222"/>
      <c r="K1155" s="217"/>
      <c r="L1155" s="217"/>
      <c r="M1155" s="217"/>
    </row>
    <row r="1156" spans="2:13">
      <c r="B1156" s="215"/>
      <c r="E1156" s="216"/>
      <c r="F1156" s="216"/>
      <c r="G1156" s="222"/>
      <c r="K1156" s="217"/>
      <c r="L1156" s="217"/>
      <c r="M1156" s="217"/>
    </row>
    <row r="1157" spans="2:13">
      <c r="B1157" s="215"/>
      <c r="E1157" s="216"/>
      <c r="F1157" s="216"/>
      <c r="G1157" s="222"/>
      <c r="K1157" s="217"/>
      <c r="L1157" s="217"/>
      <c r="M1157" s="217"/>
    </row>
    <row r="1158" spans="2:13">
      <c r="B1158" s="215"/>
      <c r="E1158" s="216"/>
      <c r="F1158" s="216"/>
      <c r="G1158" s="222"/>
      <c r="K1158" s="217"/>
      <c r="L1158" s="217"/>
      <c r="M1158" s="217"/>
    </row>
    <row r="1159" spans="2:13">
      <c r="B1159" s="215"/>
      <c r="E1159" s="216"/>
      <c r="F1159" s="216"/>
      <c r="G1159" s="222"/>
      <c r="K1159" s="217"/>
      <c r="L1159" s="217"/>
      <c r="M1159" s="217"/>
    </row>
    <row r="1160" spans="2:13">
      <c r="B1160" s="215"/>
      <c r="E1160" s="216"/>
      <c r="F1160" s="216"/>
      <c r="G1160" s="222"/>
      <c r="K1160" s="217"/>
      <c r="L1160" s="217"/>
      <c r="M1160" s="217"/>
    </row>
    <row r="1161" spans="2:13">
      <c r="B1161" s="215"/>
      <c r="E1161" s="216"/>
      <c r="F1161" s="216"/>
      <c r="G1161" s="222"/>
      <c r="K1161" s="217"/>
      <c r="L1161" s="217"/>
      <c r="M1161" s="217"/>
    </row>
    <row r="1162" spans="2:13">
      <c r="B1162" s="215"/>
      <c r="E1162" s="216"/>
      <c r="F1162" s="216"/>
      <c r="G1162" s="222"/>
      <c r="K1162" s="217"/>
      <c r="L1162" s="217"/>
      <c r="M1162" s="217"/>
    </row>
    <row r="1163" spans="2:13">
      <c r="B1163" s="215"/>
      <c r="E1163" s="216"/>
      <c r="F1163" s="216"/>
      <c r="G1163" s="222"/>
      <c r="K1163" s="217"/>
      <c r="L1163" s="217"/>
      <c r="M1163" s="217"/>
    </row>
    <row r="1164" spans="2:13">
      <c r="B1164" s="215"/>
      <c r="E1164" s="216"/>
      <c r="F1164" s="216"/>
      <c r="G1164" s="222"/>
      <c r="K1164" s="217"/>
      <c r="L1164" s="217"/>
      <c r="M1164" s="217"/>
    </row>
    <row r="1165" spans="2:13">
      <c r="B1165" s="215"/>
      <c r="E1165" s="216"/>
      <c r="F1165" s="216"/>
      <c r="G1165" s="222"/>
      <c r="K1165" s="217"/>
      <c r="L1165" s="217"/>
      <c r="M1165" s="217"/>
    </row>
    <row r="1166" spans="2:13">
      <c r="B1166" s="215"/>
      <c r="E1166" s="216"/>
      <c r="F1166" s="216"/>
      <c r="G1166" s="222"/>
      <c r="K1166" s="217"/>
      <c r="L1166" s="217"/>
      <c r="M1166" s="217"/>
    </row>
    <row r="1167" spans="2:13">
      <c r="B1167" s="215"/>
      <c r="E1167" s="216"/>
      <c r="F1167" s="216"/>
      <c r="G1167" s="222"/>
      <c r="K1167" s="217"/>
      <c r="L1167" s="217"/>
      <c r="M1167" s="217"/>
    </row>
    <row r="1168" spans="2:13">
      <c r="B1168" s="215"/>
      <c r="E1168" s="216"/>
      <c r="F1168" s="216"/>
      <c r="G1168" s="222"/>
      <c r="K1168" s="217"/>
      <c r="L1168" s="217"/>
      <c r="M1168" s="217"/>
    </row>
    <row r="1169" spans="2:13">
      <c r="B1169" s="215"/>
      <c r="E1169" s="216"/>
      <c r="F1169" s="216"/>
      <c r="G1169" s="222"/>
      <c r="K1169" s="217"/>
      <c r="L1169" s="217"/>
      <c r="M1169" s="217"/>
    </row>
    <row r="1170" spans="2:13">
      <c r="B1170" s="215"/>
      <c r="E1170" s="216"/>
      <c r="F1170" s="216"/>
      <c r="G1170" s="222"/>
      <c r="K1170" s="217"/>
      <c r="L1170" s="217"/>
      <c r="M1170" s="217"/>
    </row>
    <row r="1171" spans="2:13">
      <c r="B1171" s="215"/>
      <c r="E1171" s="216"/>
      <c r="F1171" s="216"/>
      <c r="G1171" s="222"/>
      <c r="K1171" s="217"/>
      <c r="L1171" s="217"/>
      <c r="M1171" s="217"/>
    </row>
    <row r="1172" spans="2:13">
      <c r="B1172" s="215"/>
      <c r="E1172" s="216"/>
      <c r="F1172" s="216"/>
      <c r="G1172" s="222"/>
      <c r="K1172" s="217"/>
      <c r="L1172" s="217"/>
      <c r="M1172" s="217"/>
    </row>
    <row r="1173" spans="2:13">
      <c r="B1173" s="215"/>
      <c r="E1173" s="216"/>
      <c r="F1173" s="216"/>
      <c r="G1173" s="222"/>
      <c r="K1173" s="217"/>
      <c r="L1173" s="217"/>
      <c r="M1173" s="217"/>
    </row>
    <row r="1174" spans="2:13">
      <c r="B1174" s="215"/>
      <c r="E1174" s="216"/>
      <c r="F1174" s="216"/>
      <c r="G1174" s="222"/>
      <c r="K1174" s="217"/>
      <c r="L1174" s="217"/>
      <c r="M1174" s="217"/>
    </row>
    <row r="1175" spans="2:13">
      <c r="B1175" s="215"/>
      <c r="E1175" s="216"/>
      <c r="F1175" s="216"/>
      <c r="G1175" s="222"/>
      <c r="K1175" s="217"/>
      <c r="L1175" s="217"/>
      <c r="M1175" s="217"/>
    </row>
    <row r="1176" spans="2:13">
      <c r="B1176" s="215"/>
      <c r="E1176" s="216"/>
      <c r="F1176" s="216"/>
      <c r="G1176" s="222"/>
      <c r="K1176" s="217"/>
      <c r="L1176" s="217"/>
      <c r="M1176" s="217"/>
    </row>
    <row r="1177" spans="2:13">
      <c r="B1177" s="215"/>
      <c r="E1177" s="216"/>
      <c r="F1177" s="216"/>
      <c r="G1177" s="222"/>
      <c r="K1177" s="217"/>
      <c r="L1177" s="217"/>
      <c r="M1177" s="217"/>
    </row>
    <row r="1178" spans="2:13">
      <c r="B1178" s="215"/>
      <c r="E1178" s="216"/>
      <c r="F1178" s="216"/>
      <c r="G1178" s="222"/>
      <c r="K1178" s="217"/>
      <c r="L1178" s="217"/>
      <c r="M1178" s="217"/>
    </row>
    <row r="1179" spans="2:13">
      <c r="B1179" s="215"/>
      <c r="E1179" s="216"/>
      <c r="F1179" s="216"/>
      <c r="G1179" s="222"/>
      <c r="K1179" s="217"/>
      <c r="L1179" s="217"/>
      <c r="M1179" s="217"/>
    </row>
    <row r="1180" spans="2:13">
      <c r="B1180" s="215"/>
      <c r="E1180" s="216"/>
      <c r="F1180" s="216"/>
      <c r="G1180" s="222"/>
      <c r="K1180" s="217"/>
      <c r="L1180" s="217"/>
      <c r="M1180" s="217"/>
    </row>
    <row r="1181" spans="2:13">
      <c r="B1181" s="215"/>
      <c r="E1181" s="216"/>
      <c r="F1181" s="216"/>
      <c r="G1181" s="222"/>
      <c r="K1181" s="217"/>
      <c r="L1181" s="217"/>
      <c r="M1181" s="217"/>
    </row>
    <row r="1182" spans="2:13">
      <c r="B1182" s="215"/>
      <c r="E1182" s="216"/>
      <c r="F1182" s="216"/>
      <c r="G1182" s="222"/>
      <c r="K1182" s="217"/>
      <c r="L1182" s="217"/>
      <c r="M1182" s="217"/>
    </row>
    <row r="1183" spans="2:13">
      <c r="B1183" s="215"/>
      <c r="E1183" s="216"/>
      <c r="F1183" s="216"/>
      <c r="G1183" s="222"/>
      <c r="K1183" s="217"/>
      <c r="L1183" s="217"/>
      <c r="M1183" s="217"/>
    </row>
    <row r="1184" spans="2:13">
      <c r="B1184" s="215"/>
      <c r="E1184" s="216"/>
      <c r="F1184" s="216"/>
      <c r="G1184" s="222"/>
      <c r="K1184" s="217"/>
      <c r="L1184" s="217"/>
      <c r="M1184" s="217"/>
    </row>
    <row r="1185" spans="2:13">
      <c r="B1185" s="215"/>
      <c r="E1185" s="216"/>
      <c r="F1185" s="216"/>
      <c r="G1185" s="222"/>
      <c r="K1185" s="217"/>
      <c r="L1185" s="217"/>
      <c r="M1185" s="217"/>
    </row>
    <row r="1186" spans="2:13">
      <c r="B1186" s="215"/>
      <c r="E1186" s="216"/>
      <c r="F1186" s="216"/>
      <c r="G1186" s="222"/>
      <c r="K1186" s="217"/>
      <c r="L1186" s="217"/>
      <c r="M1186" s="217"/>
    </row>
    <row r="1187" spans="2:13">
      <c r="B1187" s="215"/>
      <c r="E1187" s="216"/>
      <c r="F1187" s="216"/>
      <c r="G1187" s="222"/>
      <c r="K1187" s="217"/>
      <c r="L1187" s="217"/>
      <c r="M1187" s="217"/>
    </row>
    <row r="1188" spans="2:13">
      <c r="B1188" s="215"/>
      <c r="E1188" s="216"/>
      <c r="F1188" s="216"/>
      <c r="G1188" s="222"/>
      <c r="K1188" s="217"/>
      <c r="L1188" s="217"/>
      <c r="M1188" s="217"/>
    </row>
    <row r="1189" spans="2:13">
      <c r="B1189" s="215"/>
      <c r="E1189" s="216"/>
      <c r="F1189" s="216"/>
      <c r="G1189" s="222"/>
      <c r="K1189" s="217"/>
      <c r="L1189" s="217"/>
      <c r="M1189" s="217"/>
    </row>
    <row r="1190" spans="2:13">
      <c r="B1190" s="215"/>
      <c r="E1190" s="216"/>
      <c r="F1190" s="216"/>
      <c r="G1190" s="222"/>
      <c r="K1190" s="217"/>
      <c r="L1190" s="217"/>
      <c r="M1190" s="217"/>
    </row>
    <row r="1191" spans="2:13">
      <c r="B1191" s="215"/>
      <c r="E1191" s="216"/>
      <c r="F1191" s="216"/>
      <c r="G1191" s="222"/>
      <c r="K1191" s="217"/>
      <c r="L1191" s="217"/>
      <c r="M1191" s="217"/>
    </row>
    <row r="1192" spans="2:13">
      <c r="B1192" s="215"/>
      <c r="E1192" s="216"/>
      <c r="F1192" s="216"/>
      <c r="G1192" s="222"/>
      <c r="K1192" s="217"/>
      <c r="L1192" s="217"/>
      <c r="M1192" s="217"/>
    </row>
    <row r="1193" spans="2:13">
      <c r="B1193" s="215"/>
      <c r="E1193" s="216"/>
      <c r="F1193" s="216"/>
      <c r="G1193" s="222"/>
      <c r="K1193" s="217"/>
      <c r="L1193" s="217"/>
      <c r="M1193" s="217"/>
    </row>
    <row r="1194" spans="2:13">
      <c r="B1194" s="215"/>
      <c r="E1194" s="216"/>
      <c r="F1194" s="216"/>
      <c r="G1194" s="222"/>
      <c r="K1194" s="217"/>
      <c r="L1194" s="217"/>
      <c r="M1194" s="217"/>
    </row>
    <row r="1195" spans="2:13">
      <c r="B1195" s="215"/>
      <c r="E1195" s="216"/>
      <c r="F1195" s="216"/>
      <c r="G1195" s="222"/>
      <c r="K1195" s="217"/>
      <c r="L1195" s="217"/>
      <c r="M1195" s="217"/>
    </row>
    <row r="1196" spans="2:13">
      <c r="B1196" s="215"/>
      <c r="E1196" s="216"/>
      <c r="F1196" s="216"/>
      <c r="G1196" s="222"/>
      <c r="K1196" s="217"/>
      <c r="L1196" s="217"/>
      <c r="M1196" s="217"/>
    </row>
    <row r="1197" spans="2:13">
      <c r="B1197" s="215"/>
      <c r="E1197" s="216"/>
      <c r="F1197" s="216"/>
      <c r="G1197" s="222"/>
      <c r="K1197" s="217"/>
      <c r="L1197" s="217"/>
      <c r="M1197" s="217"/>
    </row>
    <row r="1198" spans="2:13">
      <c r="B1198" s="215"/>
      <c r="E1198" s="216"/>
      <c r="F1198" s="216"/>
      <c r="G1198" s="222"/>
      <c r="K1198" s="217"/>
      <c r="L1198" s="217"/>
      <c r="M1198" s="217"/>
    </row>
    <row r="1199" spans="2:13">
      <c r="B1199" s="215"/>
      <c r="E1199" s="216"/>
      <c r="F1199" s="216"/>
      <c r="G1199" s="222"/>
      <c r="K1199" s="217"/>
      <c r="L1199" s="217"/>
      <c r="M1199" s="217"/>
    </row>
    <row r="1200" spans="2:13">
      <c r="B1200" s="215"/>
      <c r="E1200" s="216"/>
      <c r="F1200" s="216"/>
      <c r="G1200" s="222"/>
      <c r="K1200" s="217"/>
      <c r="L1200" s="217"/>
      <c r="M1200" s="217"/>
    </row>
    <row r="1201" spans="2:13">
      <c r="B1201" s="215"/>
      <c r="E1201" s="216"/>
      <c r="F1201" s="216"/>
      <c r="G1201" s="222"/>
      <c r="K1201" s="217"/>
      <c r="L1201" s="217"/>
      <c r="M1201" s="217"/>
    </row>
    <row r="1202" spans="2:13">
      <c r="B1202" s="215"/>
      <c r="E1202" s="216"/>
      <c r="F1202" s="216"/>
      <c r="G1202" s="222"/>
      <c r="K1202" s="217"/>
      <c r="L1202" s="217"/>
      <c r="M1202" s="217"/>
    </row>
    <row r="1203" spans="2:13">
      <c r="B1203" s="215"/>
      <c r="E1203" s="216"/>
      <c r="F1203" s="216"/>
      <c r="G1203" s="222"/>
      <c r="K1203" s="217"/>
      <c r="L1203" s="217"/>
      <c r="M1203" s="217"/>
    </row>
    <row r="1204" spans="2:13">
      <c r="B1204" s="215"/>
      <c r="E1204" s="216"/>
      <c r="F1204" s="216"/>
      <c r="G1204" s="222"/>
      <c r="K1204" s="217"/>
      <c r="L1204" s="217"/>
      <c r="M1204" s="217"/>
    </row>
    <row r="1205" spans="2:13">
      <c r="B1205" s="215"/>
      <c r="E1205" s="216"/>
      <c r="F1205" s="216"/>
      <c r="G1205" s="222"/>
      <c r="K1205" s="217"/>
      <c r="L1205" s="217"/>
      <c r="M1205" s="217"/>
    </row>
    <row r="1206" spans="2:13">
      <c r="B1206" s="215"/>
      <c r="E1206" s="216"/>
      <c r="F1206" s="216"/>
      <c r="G1206" s="222"/>
      <c r="K1206" s="217"/>
      <c r="L1206" s="217"/>
      <c r="M1206" s="217"/>
    </row>
    <row r="1207" spans="2:13">
      <c r="B1207" s="215"/>
      <c r="E1207" s="216"/>
      <c r="F1207" s="216"/>
      <c r="G1207" s="222"/>
      <c r="K1207" s="217"/>
      <c r="L1207" s="217"/>
      <c r="M1207" s="217"/>
    </row>
    <row r="1208" spans="2:13">
      <c r="B1208" s="215"/>
      <c r="E1208" s="216"/>
      <c r="F1208" s="216"/>
      <c r="G1208" s="222"/>
      <c r="K1208" s="217"/>
      <c r="L1208" s="217"/>
      <c r="M1208" s="217"/>
    </row>
    <row r="1209" spans="2:13">
      <c r="B1209" s="215"/>
      <c r="E1209" s="216"/>
      <c r="F1209" s="216"/>
      <c r="G1209" s="222"/>
      <c r="K1209" s="217"/>
      <c r="L1209" s="217"/>
      <c r="M1209" s="217"/>
    </row>
    <row r="1210" spans="2:13">
      <c r="B1210" s="215"/>
      <c r="E1210" s="216"/>
      <c r="F1210" s="216"/>
      <c r="G1210" s="222"/>
      <c r="K1210" s="217"/>
      <c r="L1210" s="217"/>
      <c r="M1210" s="217"/>
    </row>
    <row r="1211" spans="2:13">
      <c r="B1211" s="215"/>
      <c r="E1211" s="216"/>
      <c r="F1211" s="216"/>
      <c r="G1211" s="222"/>
      <c r="K1211" s="217"/>
      <c r="L1211" s="217"/>
      <c r="M1211" s="217"/>
    </row>
    <row r="1212" spans="2:13">
      <c r="B1212" s="215"/>
      <c r="E1212" s="216"/>
      <c r="F1212" s="216"/>
      <c r="G1212" s="222"/>
      <c r="K1212" s="217"/>
      <c r="L1212" s="217"/>
      <c r="M1212" s="217"/>
    </row>
    <row r="1213" spans="2:13">
      <c r="B1213" s="215"/>
      <c r="E1213" s="216"/>
      <c r="F1213" s="216"/>
      <c r="G1213" s="222"/>
      <c r="K1213" s="217"/>
      <c r="L1213" s="217"/>
      <c r="M1213" s="217"/>
    </row>
    <row r="1214" spans="2:13">
      <c r="B1214" s="215"/>
      <c r="E1214" s="216"/>
      <c r="F1214" s="216"/>
      <c r="G1214" s="222"/>
      <c r="K1214" s="217"/>
      <c r="L1214" s="217"/>
      <c r="M1214" s="217"/>
    </row>
    <row r="1215" spans="2:13">
      <c r="B1215" s="215"/>
      <c r="E1215" s="216"/>
      <c r="F1215" s="216"/>
      <c r="G1215" s="222"/>
      <c r="K1215" s="217"/>
      <c r="L1215" s="217"/>
      <c r="M1215" s="217"/>
    </row>
    <row r="1216" spans="2:13">
      <c r="B1216" s="215"/>
      <c r="E1216" s="216"/>
      <c r="F1216" s="216"/>
      <c r="G1216" s="222"/>
      <c r="K1216" s="217"/>
      <c r="L1216" s="217"/>
      <c r="M1216" s="217"/>
    </row>
    <row r="1217" spans="2:13">
      <c r="B1217" s="215"/>
      <c r="E1217" s="216"/>
      <c r="F1217" s="216"/>
      <c r="G1217" s="222"/>
      <c r="K1217" s="217"/>
      <c r="L1217" s="217"/>
      <c r="M1217" s="217"/>
    </row>
    <row r="1218" spans="2:13">
      <c r="B1218" s="215"/>
      <c r="E1218" s="216"/>
      <c r="F1218" s="216"/>
      <c r="G1218" s="222"/>
      <c r="K1218" s="217"/>
      <c r="L1218" s="217"/>
      <c r="M1218" s="217"/>
    </row>
    <row r="1219" spans="2:13">
      <c r="B1219" s="215"/>
      <c r="E1219" s="216"/>
      <c r="F1219" s="216"/>
      <c r="G1219" s="222"/>
      <c r="K1219" s="217"/>
      <c r="L1219" s="217"/>
      <c r="M1219" s="217"/>
    </row>
    <row r="1220" spans="2:13">
      <c r="B1220" s="215"/>
      <c r="E1220" s="216"/>
      <c r="F1220" s="216"/>
      <c r="G1220" s="222"/>
      <c r="K1220" s="217"/>
      <c r="L1220" s="217"/>
      <c r="M1220" s="217"/>
    </row>
    <row r="1221" spans="2:13">
      <c r="B1221" s="215"/>
      <c r="E1221" s="216"/>
      <c r="F1221" s="216"/>
      <c r="G1221" s="222"/>
      <c r="K1221" s="217"/>
      <c r="L1221" s="217"/>
      <c r="M1221" s="217"/>
    </row>
    <row r="1222" spans="2:13">
      <c r="B1222" s="215"/>
      <c r="E1222" s="216"/>
      <c r="F1222" s="216"/>
      <c r="G1222" s="222"/>
      <c r="K1222" s="217"/>
      <c r="L1222" s="217"/>
      <c r="M1222" s="217"/>
    </row>
    <row r="1223" spans="2:13">
      <c r="B1223" s="215"/>
      <c r="E1223" s="216"/>
      <c r="F1223" s="216"/>
      <c r="G1223" s="222"/>
      <c r="K1223" s="217"/>
      <c r="L1223" s="217"/>
      <c r="M1223" s="217"/>
    </row>
    <row r="1224" spans="2:13">
      <c r="B1224" s="215"/>
      <c r="E1224" s="216"/>
      <c r="F1224" s="216"/>
      <c r="G1224" s="222"/>
      <c r="K1224" s="217"/>
      <c r="L1224" s="217"/>
      <c r="M1224" s="217"/>
    </row>
    <row r="1225" spans="2:13">
      <c r="B1225" s="215"/>
      <c r="E1225" s="216"/>
      <c r="F1225" s="216"/>
      <c r="G1225" s="222"/>
      <c r="K1225" s="217"/>
      <c r="L1225" s="217"/>
      <c r="M1225" s="217"/>
    </row>
    <row r="1226" spans="2:13">
      <c r="B1226" s="215"/>
      <c r="E1226" s="216"/>
      <c r="F1226" s="216"/>
      <c r="G1226" s="222"/>
      <c r="K1226" s="217"/>
      <c r="L1226" s="217"/>
      <c r="M1226" s="217"/>
    </row>
    <row r="1227" spans="2:13">
      <c r="B1227" s="215"/>
      <c r="E1227" s="216"/>
      <c r="F1227" s="216"/>
      <c r="G1227" s="222"/>
      <c r="K1227" s="217"/>
      <c r="L1227" s="217"/>
      <c r="M1227" s="217"/>
    </row>
    <row r="1228" spans="2:13">
      <c r="B1228" s="215"/>
      <c r="E1228" s="216"/>
      <c r="F1228" s="216"/>
      <c r="G1228" s="222"/>
      <c r="K1228" s="217"/>
      <c r="L1228" s="217"/>
      <c r="M1228" s="217"/>
    </row>
    <row r="1229" spans="2:13">
      <c r="B1229" s="215"/>
      <c r="E1229" s="216"/>
      <c r="F1229" s="216"/>
      <c r="G1229" s="222"/>
      <c r="K1229" s="217"/>
      <c r="L1229" s="217"/>
      <c r="M1229" s="217"/>
    </row>
    <row r="1230" spans="2:13">
      <c r="B1230" s="215"/>
      <c r="E1230" s="216"/>
      <c r="F1230" s="216"/>
      <c r="G1230" s="222"/>
      <c r="K1230" s="217"/>
      <c r="L1230" s="217"/>
      <c r="M1230" s="217"/>
    </row>
    <row r="1231" spans="2:13">
      <c r="B1231" s="215"/>
      <c r="E1231" s="216"/>
      <c r="F1231" s="216"/>
      <c r="G1231" s="222"/>
      <c r="K1231" s="217"/>
      <c r="L1231" s="217"/>
      <c r="M1231" s="217"/>
    </row>
    <row r="1232" spans="2:13">
      <c r="B1232" s="215"/>
      <c r="E1232" s="216"/>
      <c r="F1232" s="216"/>
      <c r="G1232" s="222"/>
      <c r="K1232" s="217"/>
      <c r="L1232" s="217"/>
      <c r="M1232" s="217"/>
    </row>
    <row r="1233" spans="2:13">
      <c r="B1233" s="215"/>
      <c r="E1233" s="216"/>
      <c r="F1233" s="216"/>
      <c r="G1233" s="222"/>
      <c r="K1233" s="217"/>
      <c r="L1233" s="217"/>
      <c r="M1233" s="217"/>
    </row>
    <row r="1234" spans="2:13">
      <c r="B1234" s="215"/>
      <c r="E1234" s="216"/>
      <c r="F1234" s="216"/>
      <c r="G1234" s="222"/>
      <c r="K1234" s="217"/>
      <c r="L1234" s="217"/>
      <c r="M1234" s="217"/>
    </row>
    <row r="1235" spans="2:13">
      <c r="B1235" s="215"/>
      <c r="E1235" s="216"/>
      <c r="F1235" s="216"/>
      <c r="G1235" s="222"/>
      <c r="K1235" s="217"/>
      <c r="L1235" s="217"/>
      <c r="M1235" s="217"/>
    </row>
    <row r="1236" spans="2:13">
      <c r="B1236" s="215"/>
      <c r="E1236" s="216"/>
      <c r="F1236" s="216"/>
      <c r="G1236" s="222"/>
      <c r="K1236" s="217"/>
      <c r="L1236" s="217"/>
      <c r="M1236" s="217"/>
    </row>
    <row r="1237" spans="2:13">
      <c r="B1237" s="215"/>
      <c r="E1237" s="216"/>
      <c r="F1237" s="216"/>
      <c r="G1237" s="222"/>
      <c r="K1237" s="217"/>
      <c r="L1237" s="217"/>
      <c r="M1237" s="217"/>
    </row>
    <row r="1238" spans="2:13">
      <c r="B1238" s="215"/>
      <c r="E1238" s="216"/>
      <c r="F1238" s="216"/>
      <c r="G1238" s="222"/>
      <c r="K1238" s="217"/>
      <c r="L1238" s="217"/>
      <c r="M1238" s="217"/>
    </row>
    <row r="1239" spans="2:13">
      <c r="B1239" s="215"/>
      <c r="E1239" s="216"/>
      <c r="F1239" s="216"/>
      <c r="G1239" s="222"/>
      <c r="K1239" s="217"/>
      <c r="L1239" s="217"/>
      <c r="M1239" s="217"/>
    </row>
    <row r="1240" spans="2:13">
      <c r="B1240" s="215"/>
      <c r="E1240" s="216"/>
      <c r="F1240" s="216"/>
      <c r="G1240" s="222"/>
      <c r="K1240" s="217"/>
      <c r="L1240" s="217"/>
      <c r="M1240" s="217"/>
    </row>
    <row r="1241" spans="2:13">
      <c r="B1241" s="215"/>
      <c r="E1241" s="216"/>
      <c r="F1241" s="216"/>
      <c r="G1241" s="222"/>
      <c r="K1241" s="217"/>
      <c r="L1241" s="217"/>
      <c r="M1241" s="217"/>
    </row>
    <row r="1242" spans="2:13">
      <c r="B1242" s="215"/>
      <c r="E1242" s="216"/>
      <c r="F1242" s="216"/>
      <c r="G1242" s="222"/>
      <c r="K1242" s="217"/>
      <c r="L1242" s="217"/>
      <c r="M1242" s="217"/>
    </row>
    <row r="1243" spans="2:13">
      <c r="B1243" s="215"/>
      <c r="E1243" s="216"/>
      <c r="F1243" s="216"/>
      <c r="G1243" s="222"/>
      <c r="K1243" s="217"/>
      <c r="L1243" s="217"/>
      <c r="M1243" s="217"/>
    </row>
    <row r="1244" spans="2:13">
      <c r="B1244" s="215"/>
      <c r="E1244" s="216"/>
      <c r="F1244" s="216"/>
      <c r="G1244" s="222"/>
      <c r="K1244" s="217"/>
      <c r="L1244" s="217"/>
      <c r="M1244" s="217"/>
    </row>
    <row r="1245" spans="2:13">
      <c r="B1245" s="215"/>
      <c r="E1245" s="216"/>
      <c r="F1245" s="216"/>
      <c r="G1245" s="222"/>
      <c r="K1245" s="217"/>
      <c r="L1245" s="217"/>
      <c r="M1245" s="217"/>
    </row>
    <row r="1246" spans="2:13">
      <c r="B1246" s="215"/>
      <c r="E1246" s="216"/>
      <c r="F1246" s="216"/>
      <c r="G1246" s="222"/>
      <c r="K1246" s="217"/>
      <c r="L1246" s="217"/>
      <c r="M1246" s="217"/>
    </row>
    <row r="1247" spans="2:13">
      <c r="B1247" s="215"/>
      <c r="E1247" s="216"/>
      <c r="F1247" s="216"/>
      <c r="G1247" s="222"/>
      <c r="K1247" s="217"/>
      <c r="L1247" s="217"/>
      <c r="M1247" s="217"/>
    </row>
    <row r="1248" spans="2:13">
      <c r="B1248" s="215"/>
      <c r="E1248" s="216"/>
      <c r="F1248" s="216"/>
      <c r="G1248" s="222"/>
      <c r="K1248" s="217"/>
      <c r="L1248" s="217"/>
      <c r="M1248" s="217"/>
    </row>
    <row r="1249" spans="2:13">
      <c r="B1249" s="215"/>
      <c r="E1249" s="216"/>
      <c r="F1249" s="216"/>
      <c r="G1249" s="222"/>
      <c r="K1249" s="217"/>
      <c r="L1249" s="217"/>
      <c r="M1249" s="217"/>
    </row>
    <row r="1250" spans="2:13">
      <c r="B1250" s="215"/>
      <c r="E1250" s="216"/>
      <c r="F1250" s="216"/>
      <c r="G1250" s="222"/>
      <c r="K1250" s="217"/>
      <c r="L1250" s="217"/>
      <c r="M1250" s="217"/>
    </row>
    <row r="1251" spans="2:13">
      <c r="B1251" s="215"/>
      <c r="E1251" s="216"/>
      <c r="F1251" s="216"/>
      <c r="G1251" s="222"/>
      <c r="K1251" s="217"/>
      <c r="L1251" s="217"/>
      <c r="M1251" s="217"/>
    </row>
    <row r="1252" spans="2:13">
      <c r="B1252" s="215"/>
      <c r="E1252" s="216"/>
      <c r="F1252" s="216"/>
      <c r="G1252" s="222"/>
      <c r="K1252" s="217"/>
      <c r="L1252" s="217"/>
      <c r="M1252" s="217"/>
    </row>
    <row r="1253" spans="2:13">
      <c r="B1253" s="215"/>
      <c r="E1253" s="216"/>
      <c r="F1253" s="216"/>
      <c r="G1253" s="222"/>
      <c r="K1253" s="217"/>
      <c r="L1253" s="217"/>
      <c r="M1253" s="217"/>
    </row>
    <row r="1254" spans="2:13">
      <c r="B1254" s="215"/>
      <c r="E1254" s="216"/>
      <c r="F1254" s="216"/>
      <c r="G1254" s="222"/>
      <c r="K1254" s="217"/>
      <c r="L1254" s="217"/>
      <c r="M1254" s="217"/>
    </row>
    <row r="1255" spans="2:13">
      <c r="B1255" s="215"/>
      <c r="E1255" s="216"/>
      <c r="F1255" s="216"/>
      <c r="G1255" s="222"/>
      <c r="K1255" s="217"/>
      <c r="L1255" s="217"/>
      <c r="M1255" s="217"/>
    </row>
    <row r="1256" spans="2:13">
      <c r="B1256" s="215"/>
      <c r="E1256" s="216"/>
      <c r="F1256" s="216"/>
      <c r="G1256" s="222"/>
      <c r="K1256" s="217"/>
      <c r="L1256" s="217"/>
      <c r="M1256" s="217"/>
    </row>
    <row r="1257" spans="2:13">
      <c r="B1257" s="215"/>
      <c r="E1257" s="216"/>
      <c r="F1257" s="216"/>
      <c r="G1257" s="222"/>
      <c r="K1257" s="217"/>
      <c r="L1257" s="217"/>
      <c r="M1257" s="217"/>
    </row>
    <row r="1258" spans="2:13">
      <c r="B1258" s="215"/>
      <c r="E1258" s="216"/>
      <c r="F1258" s="216"/>
      <c r="G1258" s="222"/>
      <c r="K1258" s="217"/>
      <c r="L1258" s="217"/>
      <c r="M1258" s="217"/>
    </row>
    <row r="1259" spans="2:13">
      <c r="B1259" s="215"/>
      <c r="E1259" s="216"/>
      <c r="F1259" s="216"/>
      <c r="G1259" s="222"/>
      <c r="K1259" s="217"/>
      <c r="L1259" s="217"/>
      <c r="M1259" s="217"/>
    </row>
    <row r="1260" spans="2:13">
      <c r="B1260" s="215"/>
      <c r="E1260" s="216"/>
      <c r="F1260" s="216"/>
      <c r="G1260" s="222"/>
      <c r="K1260" s="217"/>
      <c r="L1260" s="217"/>
      <c r="M1260" s="217"/>
    </row>
    <row r="1261" spans="2:13">
      <c r="B1261" s="215"/>
      <c r="E1261" s="216"/>
      <c r="F1261" s="216"/>
      <c r="G1261" s="222"/>
      <c r="K1261" s="217"/>
      <c r="L1261" s="217"/>
      <c r="M1261" s="217"/>
    </row>
    <row r="1262" spans="2:13">
      <c r="B1262" s="215"/>
      <c r="E1262" s="216"/>
      <c r="F1262" s="216"/>
      <c r="G1262" s="222"/>
      <c r="K1262" s="217"/>
      <c r="L1262" s="217"/>
      <c r="M1262" s="217"/>
    </row>
    <row r="1263" spans="2:13">
      <c r="B1263" s="215"/>
      <c r="E1263" s="216"/>
      <c r="F1263" s="216"/>
      <c r="G1263" s="222"/>
      <c r="K1263" s="217"/>
      <c r="L1263" s="217"/>
      <c r="M1263" s="217"/>
    </row>
    <row r="1264" spans="2:13">
      <c r="B1264" s="215"/>
      <c r="E1264" s="216"/>
      <c r="F1264" s="216"/>
      <c r="G1264" s="222"/>
      <c r="K1264" s="217"/>
      <c r="L1264" s="217"/>
      <c r="M1264" s="217"/>
    </row>
    <row r="1265" spans="2:13">
      <c r="B1265" s="215"/>
      <c r="E1265" s="216"/>
      <c r="F1265" s="216"/>
      <c r="G1265" s="222"/>
      <c r="K1265" s="217"/>
      <c r="L1265" s="217"/>
      <c r="M1265" s="217"/>
    </row>
    <row r="1266" spans="2:13">
      <c r="B1266" s="215"/>
      <c r="E1266" s="216"/>
      <c r="F1266" s="216"/>
      <c r="G1266" s="222"/>
      <c r="K1266" s="217"/>
      <c r="L1266" s="217"/>
      <c r="M1266" s="217"/>
    </row>
    <row r="1267" spans="2:13">
      <c r="K1267" s="217"/>
      <c r="M1267" s="217"/>
    </row>
  </sheetData>
  <sheetProtection algorithmName="SHA-512" hashValue="TjQPfoEF9lPdQ8Sct3zJyqWXuBTeldeETmzJSZVIgqFt36OomPfCAhpFyStnBtDGapyjMPt92Sfq0zNE7/rA2Q==" saltValue="Ez/UGHwrlrB8gDnqucjP9Q==" spinCount="100000" sheet="1" objects="1" scenarios="1"/>
  <phoneticPr fontId="43" type="noConversion"/>
  <conditionalFormatting sqref="Q850:R852">
    <cfRule type="duplicateValues" dxfId="80" priority="10"/>
  </conditionalFormatting>
  <conditionalFormatting sqref="Q697 Q702:Q707 Q709:Q710 Q714:Q717 Q721:Q728 Q731:Q736 Q739 Q741:Q746 Q748:Q752 Q754 Q756:Q761">
    <cfRule type="duplicateValues" dxfId="79" priority="11"/>
  </conditionalFormatting>
  <conditionalFormatting sqref="Q697 Q702:Q707 Q709:Q710 Q714:Q717 Q721:Q728 Q731:Q736 Q739 Q741:Q746 Q748:Q752 Q754 Q756:Q764">
    <cfRule type="duplicateValues" dxfId="78" priority="12"/>
    <cfRule type="duplicateValues" dxfId="77" priority="13"/>
  </conditionalFormatting>
  <conditionalFormatting sqref="Q711:R711 Q729:R729 Q849:R849 Q753:R753 Q755:R755 Q139:R144 Q187:Q193 Q195:R205 Q228:R238 Q240:R243 Q245:R260 Q262:R278 Q312:R334 Q362:R396 Q510:R513 Q557:Q564 Q574:R576 R577 Q586:R590 R591 Q610:R612 R514 R261 Q597:R599 Q601:R602 Q614:R615 Q633:R633 Q641:R647 Q654:R655 Q662:R668 Q674:R676 Q682:R690 R698 R677 Q65:R109 Q110:Q138 Q150:R172 Q145:Q149 Q173:Q183 Q210:Q227 Q206:Q208 Q310:R310 Q279:Q309 Q335:Q360 Q421:R501 Q397:Q420 Q502:Q507 Q509 Q566:Q573 Q537:Q555 Q592:Q594 Q515:R536 Q619:R625 Q616:Q618">
    <cfRule type="duplicateValues" dxfId="76" priority="14"/>
  </conditionalFormatting>
  <conditionalFormatting sqref="Q711:R711 Q729:R729 Q849:R852 Q29:R33 Q753:R753 Q755:R755 Q139:R144 Q187:Q193 Q195:R205 Q228:R238 Q240:R243 Q245:R260 Q262:R278 Q312:R334 Q362:R396 Q510:R513 Q557:Q564 Q574:R576 R577 Q586:R590 R591 Q610:R612 R514 R261 Q597:R599 Q601:R602 Q614:R615 Q633:R633 Q641:R647 Q654:R655 Q662:R668 Q674:R676 Q682:R690 R698 R677 Q35:R109 Q110:Q138 Q150:R172 Q145:Q149 Q173:Q183 Q210:Q227 Q206:Q208 Q310:R310 Q279:Q309 Q335:Q360 Q421:R501 Q397:Q420 Q502:Q507 Q509 Q566:Q573 Q537:Q555 Q592:Q594 Q515:R536 Q619:R625 Q616:Q618">
    <cfRule type="duplicateValues" dxfId="75" priority="15"/>
    <cfRule type="duplicateValues" dxfId="74" priority="16"/>
  </conditionalFormatting>
  <conditionalFormatting sqref="Q185:Q186">
    <cfRule type="duplicateValues" dxfId="73" priority="7"/>
  </conditionalFormatting>
  <conditionalFormatting sqref="Q185:Q186">
    <cfRule type="duplicateValues" dxfId="72" priority="8"/>
    <cfRule type="duplicateValues" dxfId="71" priority="9"/>
  </conditionalFormatting>
  <conditionalFormatting sqref="Q762:Q764">
    <cfRule type="duplicateValues" dxfId="70" priority="17"/>
  </conditionalFormatting>
  <conditionalFormatting sqref="Q29:R33 Q35:R64">
    <cfRule type="duplicateValues" dxfId="69" priority="18"/>
    <cfRule type="duplicateValues" dxfId="68" priority="19"/>
  </conditionalFormatting>
  <conditionalFormatting sqref="R618">
    <cfRule type="duplicateValues" dxfId="67" priority="4"/>
  </conditionalFormatting>
  <conditionalFormatting sqref="R618">
    <cfRule type="duplicateValues" dxfId="66" priority="5"/>
    <cfRule type="duplicateValues" dxfId="65" priority="6"/>
  </conditionalFormatting>
  <conditionalFormatting sqref="R616">
    <cfRule type="duplicateValues" dxfId="64" priority="1"/>
  </conditionalFormatting>
  <conditionalFormatting sqref="R616">
    <cfRule type="duplicateValues" dxfId="63" priority="2"/>
    <cfRule type="duplicateValues" dxfId="62" priority="3"/>
  </conditionalFormatting>
  <pageMargins left="0.7" right="0.7" top="0.75" bottom="0.75" header="0.3" footer="0.3"/>
  <ignoredErrors>
    <ignoredError sqref="B318:B319" numberStoredAsText="1"/>
  </ignoredErrors>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5"/>
  </sheetPr>
  <dimension ref="A1:K64"/>
  <sheetViews>
    <sheetView showGridLines="0" showRowColHeaders="0" zoomScaleNormal="100" workbookViewId="0">
      <pane xSplit="3" ySplit="2" topLeftCell="D3" activePane="bottomRight" state="frozen"/>
      <selection activeCell="A4" sqref="A4"/>
      <selection pane="topRight" activeCell="A4" sqref="A4"/>
      <selection pane="bottomLeft" activeCell="A4" sqref="A4"/>
      <selection pane="bottomRight" activeCell="H12" sqref="H12"/>
    </sheetView>
  </sheetViews>
  <sheetFormatPr defaultColWidth="0" defaultRowHeight="14.5" zeroHeight="1"/>
  <cols>
    <col min="1" max="1" width="0.90625" customWidth="1"/>
    <col min="2" max="2" width="25.81640625" style="1" customWidth="1"/>
    <col min="3" max="3" width="30.90625" style="1" customWidth="1"/>
    <col min="4" max="4" width="14.81640625" style="2" customWidth="1"/>
    <col min="5" max="5" width="20.81640625" customWidth="1"/>
    <col min="6" max="6" width="28.81640625" customWidth="1"/>
    <col min="7" max="7" width="9.81640625" style="2" customWidth="1"/>
    <col min="8" max="8" width="11.81640625" style="7" customWidth="1"/>
    <col min="9" max="10" width="11.81640625" style="109" customWidth="1"/>
    <col min="11" max="11" width="13.81640625" style="109" customWidth="1"/>
    <col min="12" max="16384" width="8.90625" hidden="1"/>
  </cols>
  <sheetData>
    <row r="1" spans="1:11" ht="37">
      <c r="A1" s="133"/>
      <c r="B1" s="136"/>
      <c r="C1" s="137"/>
      <c r="D1" s="367" t="s">
        <v>1108</v>
      </c>
      <c r="E1" s="367"/>
      <c r="F1" s="367"/>
      <c r="G1" s="367"/>
      <c r="H1" s="22" t="s">
        <v>283</v>
      </c>
      <c r="I1" s="8"/>
      <c r="J1" s="8"/>
      <c r="K1" s="8"/>
    </row>
    <row r="2" spans="1:11" ht="18.5">
      <c r="A2" s="61"/>
      <c r="B2" s="3" t="s">
        <v>1778</v>
      </c>
      <c r="C2" s="3" t="s">
        <v>14</v>
      </c>
      <c r="D2" s="4" t="s">
        <v>304</v>
      </c>
      <c r="E2" s="4" t="s">
        <v>349</v>
      </c>
      <c r="F2" s="129" t="s">
        <v>353</v>
      </c>
      <c r="G2" s="4" t="s">
        <v>53</v>
      </c>
      <c r="H2" s="26" t="s">
        <v>207</v>
      </c>
      <c r="I2" s="324" t="s">
        <v>1824</v>
      </c>
      <c r="J2" s="20" t="s">
        <v>1823</v>
      </c>
      <c r="K2" s="20" t="s">
        <v>266</v>
      </c>
    </row>
    <row r="3" spans="1:11" hidden="1">
      <c r="A3" s="62"/>
      <c r="I3" s="13"/>
      <c r="J3" s="13" t="e">
        <f>VLOOKUP(Table3311[[#This Row],[Part Number]],'2023 Pricing Rework'!$B$31:$F$754,4,FALSE)</f>
        <v>#N/A</v>
      </c>
      <c r="K3" s="13"/>
    </row>
    <row r="4" spans="1:11" hidden="1">
      <c r="A4" s="62"/>
      <c r="E4" s="1" t="s">
        <v>32</v>
      </c>
      <c r="F4" s="17" t="s">
        <v>34</v>
      </c>
      <c r="G4" s="19" t="s">
        <v>53</v>
      </c>
      <c r="I4" s="13"/>
      <c r="J4" s="13" t="e">
        <f>VLOOKUP(Table3311[[#This Row],[Part Number]],'2023 Pricing Rework'!$B$31:$F$754,4,FALSE)</f>
        <v>#N/A</v>
      </c>
      <c r="K4" s="13"/>
    </row>
    <row r="5" spans="1:11" hidden="1">
      <c r="D5" s="2">
        <v>2811651880</v>
      </c>
      <c r="E5" s="16" t="s">
        <v>264</v>
      </c>
      <c r="F5" s="16" t="s">
        <v>24</v>
      </c>
      <c r="G5" s="2">
        <v>1</v>
      </c>
      <c r="H5" s="30"/>
      <c r="I5" s="13" t="e">
        <f>VLOOKUP(Table3311[[#This Row],[Part Number]],#REF!,11,FALSE)</f>
        <v>#REF!</v>
      </c>
      <c r="J5" s="13" t="e">
        <f>VLOOKUP(Table3311[[#This Row],[Part Number]],'2023 Pricing Rework'!$B$31:$F$754,4,FALSE)</f>
        <v>#N/A</v>
      </c>
      <c r="K5" s="13" t="e">
        <f>Table3311[[#This Row],[Qty]]*Table3311[[#This Row],[Your Price]]</f>
        <v>#REF!</v>
      </c>
    </row>
    <row r="6" spans="1:11" hidden="1">
      <c r="D6" s="2">
        <v>2811661880</v>
      </c>
      <c r="E6" s="16" t="s">
        <v>265</v>
      </c>
      <c r="F6" s="16" t="s">
        <v>263</v>
      </c>
      <c r="G6" s="2">
        <v>1</v>
      </c>
      <c r="H6" s="30"/>
      <c r="I6" s="13" t="e">
        <f>VLOOKUP(Table3311[[#This Row],[Part Number]],#REF!,11,FALSE)</f>
        <v>#REF!</v>
      </c>
      <c r="J6" s="13" t="e">
        <f>VLOOKUP(Table3311[[#This Row],[Part Number]],'2023 Pricing Rework'!$B$31:$F$754,4,FALSE)</f>
        <v>#N/A</v>
      </c>
      <c r="K6" s="13" t="e">
        <f>Table3311[[#This Row],[Qty]]*Table3311[[#This Row],[Your Price]]</f>
        <v>#REF!</v>
      </c>
    </row>
    <row r="7" spans="1:11" hidden="1">
      <c r="D7" s="2">
        <v>2811761880</v>
      </c>
      <c r="E7" s="16" t="s">
        <v>7</v>
      </c>
      <c r="F7" s="16" t="s">
        <v>263</v>
      </c>
      <c r="G7" s="2">
        <v>1</v>
      </c>
      <c r="H7" s="30"/>
      <c r="I7" s="13" t="e">
        <f>VLOOKUP(Table3311[[#This Row],[Part Number]],#REF!,11,FALSE)</f>
        <v>#REF!</v>
      </c>
      <c r="J7" s="13" t="e">
        <f>VLOOKUP(Table3311[[#This Row],[Part Number]],'2023 Pricing Rework'!$B$31:$F$754,4,FALSE)</f>
        <v>#N/A</v>
      </c>
      <c r="K7" s="13" t="e">
        <f>Table3311[[#This Row],[Qty]]*Table3311[[#This Row],[Your Price]]</f>
        <v>#REF!</v>
      </c>
    </row>
    <row r="8" spans="1:11" hidden="1">
      <c r="D8" s="2">
        <v>2811771880</v>
      </c>
      <c r="E8" s="16" t="s">
        <v>7</v>
      </c>
      <c r="F8" s="16" t="s">
        <v>26</v>
      </c>
      <c r="G8" s="2">
        <v>1</v>
      </c>
      <c r="H8" s="30"/>
      <c r="I8" s="13" t="e">
        <f>VLOOKUP(Table3311[[#This Row],[Part Number]],#REF!,11,FALSE)</f>
        <v>#REF!</v>
      </c>
      <c r="J8" s="13" t="e">
        <f>VLOOKUP(Table3311[[#This Row],[Part Number]],'2023 Pricing Rework'!$B$31:$F$754,4,FALSE)</f>
        <v>#N/A</v>
      </c>
      <c r="K8" s="13" t="e">
        <f>Table3311[[#This Row],[Qty]]*Table3311[[#This Row],[Your Price]]</f>
        <v>#REF!</v>
      </c>
    </row>
    <row r="9" spans="1:11">
      <c r="A9" s="62"/>
      <c r="B9" s="5" t="s">
        <v>427</v>
      </c>
      <c r="C9" s="5" t="s">
        <v>1777</v>
      </c>
      <c r="E9" s="1"/>
      <c r="F9" s="17"/>
      <c r="I9" s="13"/>
      <c r="J9" s="13"/>
      <c r="K9" s="13"/>
    </row>
    <row r="10" spans="1:11">
      <c r="A10" s="62"/>
      <c r="B10" s="5" t="s">
        <v>428</v>
      </c>
      <c r="C10" s="5" t="s">
        <v>35</v>
      </c>
      <c r="E10" s="1"/>
      <c r="F10" s="17"/>
      <c r="I10" s="13"/>
      <c r="J10" s="13"/>
      <c r="K10" s="13"/>
    </row>
    <row r="11" spans="1:11">
      <c r="C11" s="9"/>
      <c r="E11" s="1" t="s">
        <v>32</v>
      </c>
      <c r="F11" s="17" t="s">
        <v>34</v>
      </c>
      <c r="G11" s="19" t="s">
        <v>53</v>
      </c>
      <c r="I11" s="13"/>
      <c r="J11" s="13"/>
      <c r="K11" s="13"/>
    </row>
    <row r="12" spans="1:11">
      <c r="D12" s="330">
        <v>2811101880</v>
      </c>
      <c r="E12" t="s">
        <v>2</v>
      </c>
      <c r="F12" s="16" t="s">
        <v>21</v>
      </c>
      <c r="G12" s="2">
        <v>1</v>
      </c>
      <c r="H12" s="80"/>
      <c r="I12" s="321">
        <f>VLOOKUP(Table3311[[#This Row],[Part Number]],'2023 Pricing Rework'!$B$31:$F$754,5,FALSE)</f>
        <v>25.75</v>
      </c>
      <c r="J12" s="13">
        <f>VLOOKUP(Table3311[[#This Row],[Part Number]],'2023 Pricing Rework'!$B$31:$F$754,4,FALSE)</f>
        <v>34.33</v>
      </c>
      <c r="K12" s="13">
        <f>Table3311[[#This Row],[Qty]]*Table3311[[#This Row],[Your Price]]</f>
        <v>0</v>
      </c>
    </row>
    <row r="13" spans="1:11">
      <c r="D13" s="330">
        <v>2811111880</v>
      </c>
      <c r="E13" t="s">
        <v>2</v>
      </c>
      <c r="F13" s="16" t="s">
        <v>23</v>
      </c>
      <c r="G13" s="2">
        <v>1</v>
      </c>
      <c r="H13" s="80"/>
      <c r="I13" s="321">
        <f>VLOOKUP(Table3311[[#This Row],[Part Number]],'2023 Pricing Rework'!$B$31:$F$754,5,FALSE)</f>
        <v>30.36</v>
      </c>
      <c r="J13" s="13">
        <f>VLOOKUP(Table3311[[#This Row],[Part Number]],'2023 Pricing Rework'!$B$31:$F$754,4,FALSE)</f>
        <v>40.479999999999997</v>
      </c>
      <c r="K13" s="13">
        <f>Table3311[[#This Row],[Qty]]*Table3311[[#This Row],[Your Price]]</f>
        <v>0</v>
      </c>
    </row>
    <row r="14" spans="1:11">
      <c r="D14" s="330">
        <v>2811211880</v>
      </c>
      <c r="E14" t="s">
        <v>3</v>
      </c>
      <c r="F14" s="16" t="s">
        <v>23</v>
      </c>
      <c r="G14" s="2">
        <v>1</v>
      </c>
      <c r="H14" s="80"/>
      <c r="I14" s="321">
        <f>VLOOKUP(Table3311[[#This Row],[Part Number]],'2023 Pricing Rework'!$B$31:$F$754,5,FALSE)</f>
        <v>32.54</v>
      </c>
      <c r="J14" s="13">
        <f>VLOOKUP(Table3311[[#This Row],[Part Number]],'2023 Pricing Rework'!$B$31:$F$754,4,FALSE)</f>
        <v>43.379999999999995</v>
      </c>
      <c r="K14" s="13">
        <f>Table3311[[#This Row],[Qty]]*Table3311[[#This Row],[Your Price]]</f>
        <v>0</v>
      </c>
    </row>
    <row r="15" spans="1:11">
      <c r="D15" s="330">
        <v>2811221880</v>
      </c>
      <c r="E15" t="s">
        <v>3</v>
      </c>
      <c r="F15" s="16" t="s">
        <v>22</v>
      </c>
      <c r="G15" s="2">
        <v>1</v>
      </c>
      <c r="H15" s="80"/>
      <c r="I15" s="321">
        <f>VLOOKUP(Table3311[[#This Row],[Part Number]],'2023 Pricing Rework'!$B$31:$F$754,5,FALSE)</f>
        <v>44.43</v>
      </c>
      <c r="J15" s="13">
        <f>VLOOKUP(Table3311[[#This Row],[Part Number]],'2023 Pricing Rework'!$B$31:$F$754,4,FALSE)</f>
        <v>59.239999999999995</v>
      </c>
      <c r="K15" s="13">
        <f>Table3311[[#This Row],[Qty]]*Table3311[[#This Row],[Your Price]]</f>
        <v>0</v>
      </c>
    </row>
    <row r="16" spans="1:11">
      <c r="D16" s="330">
        <v>2811431880</v>
      </c>
      <c r="E16" t="s">
        <v>4</v>
      </c>
      <c r="F16" s="16" t="s">
        <v>36</v>
      </c>
      <c r="G16" s="2">
        <v>1</v>
      </c>
      <c r="H16" s="80"/>
      <c r="I16" s="321">
        <f>VLOOKUP(Table3311[[#This Row],[Part Number]],'2023 Pricing Rework'!$B$31:$F$754,5,FALSE)</f>
        <v>52.08</v>
      </c>
      <c r="J16" s="13">
        <f>VLOOKUP(Table3311[[#This Row],[Part Number]],'2023 Pricing Rework'!$B$31:$F$754,4,FALSE)</f>
        <v>69.44</v>
      </c>
      <c r="K16" s="13">
        <f>Table3311[[#This Row],[Qty]]*Table3311[[#This Row],[Your Price]]</f>
        <v>0</v>
      </c>
    </row>
    <row r="17" spans="2:11">
      <c r="D17" s="330">
        <v>2811441880</v>
      </c>
      <c r="E17" t="s">
        <v>4</v>
      </c>
      <c r="F17" s="16" t="s">
        <v>37</v>
      </c>
      <c r="G17" s="2">
        <v>1</v>
      </c>
      <c r="H17" s="80"/>
      <c r="I17" s="321">
        <f>VLOOKUP(Table3311[[#This Row],[Part Number]],'2023 Pricing Rework'!$B$31:$F$754,5,FALSE)</f>
        <v>53.64</v>
      </c>
      <c r="J17" s="13">
        <f>VLOOKUP(Table3311[[#This Row],[Part Number]],'2023 Pricing Rework'!$B$31:$F$754,4,FALSE)</f>
        <v>71.52000000000001</v>
      </c>
      <c r="K17" s="13">
        <f>Table3311[[#This Row],[Qty]]*Table3311[[#This Row],[Your Price]]</f>
        <v>0</v>
      </c>
    </row>
    <row r="18" spans="2:11">
      <c r="D18" s="330">
        <v>2811541880</v>
      </c>
      <c r="E18" t="s">
        <v>5</v>
      </c>
      <c r="F18" s="16" t="s">
        <v>37</v>
      </c>
      <c r="G18" s="2">
        <v>1</v>
      </c>
      <c r="H18" s="80"/>
      <c r="I18" s="321">
        <f>VLOOKUP(Table3311[[#This Row],[Part Number]],'2023 Pricing Rework'!$B$31:$F$754,5,FALSE)</f>
        <v>66.819999999999993</v>
      </c>
      <c r="J18" s="13">
        <f>VLOOKUP(Table3311[[#This Row],[Part Number]],'2023 Pricing Rework'!$B$31:$F$754,4,FALSE)</f>
        <v>89.09</v>
      </c>
      <c r="K18" s="13">
        <f>Table3311[[#This Row],[Qty]]*Table3311[[#This Row],[Your Price]]</f>
        <v>0</v>
      </c>
    </row>
    <row r="19" spans="2:11">
      <c r="D19" s="330">
        <v>2811551880</v>
      </c>
      <c r="E19" t="s">
        <v>5</v>
      </c>
      <c r="F19" s="16" t="s">
        <v>24</v>
      </c>
      <c r="G19" s="2">
        <v>1</v>
      </c>
      <c r="H19" s="80"/>
      <c r="I19" s="321">
        <f>VLOOKUP(Table3311[[#This Row],[Part Number]],'2023 Pricing Rework'!$B$31:$F$754,5,FALSE)</f>
        <v>68.599999999999994</v>
      </c>
      <c r="J19" s="13">
        <f>VLOOKUP(Table3311[[#This Row],[Part Number]],'2023 Pricing Rework'!$B$31:$F$754,4,FALSE)</f>
        <v>91.47</v>
      </c>
      <c r="K19" s="13">
        <f>Table3311[[#This Row],[Qty]]*Table3311[[#This Row],[Your Price]]</f>
        <v>0</v>
      </c>
    </row>
    <row r="20" spans="2:11">
      <c r="B20" s="9"/>
      <c r="C20" s="376" t="s">
        <v>412</v>
      </c>
      <c r="D20" s="330"/>
      <c r="F20" s="16"/>
      <c r="H20" s="111"/>
      <c r="I20" s="110"/>
      <c r="J20" s="110"/>
      <c r="K20" s="12"/>
    </row>
    <row r="21" spans="2:11">
      <c r="C21" s="377"/>
      <c r="D21" s="330"/>
      <c r="E21" s="1" t="s">
        <v>32</v>
      </c>
      <c r="F21" s="17" t="s">
        <v>34</v>
      </c>
      <c r="G21" s="19" t="s">
        <v>53</v>
      </c>
      <c r="I21" s="13"/>
      <c r="J21" s="13"/>
      <c r="K21" s="13"/>
    </row>
    <row r="22" spans="2:11">
      <c r="D22" s="330">
        <v>2811651890</v>
      </c>
      <c r="E22" s="16" t="s">
        <v>264</v>
      </c>
      <c r="F22" s="16" t="s">
        <v>24</v>
      </c>
      <c r="G22" s="2">
        <v>1</v>
      </c>
      <c r="H22" s="30"/>
      <c r="I22" s="321">
        <f>VLOOKUP(Table3311[[#This Row],[Part Number]],'2023 Pricing Rework'!$B$31:$F$754,5,FALSE)</f>
        <v>134.54</v>
      </c>
      <c r="J22" s="13">
        <f>VLOOKUP(Table3311[[#This Row],[Part Number]],'2023 Pricing Rework'!$B$31:$F$754,4,FALSE)</f>
        <v>179.39</v>
      </c>
      <c r="K22" s="13">
        <f>Table3311[[#This Row],[Qty]]*Table3311[[#This Row],[Your Price]]</f>
        <v>0</v>
      </c>
    </row>
    <row r="23" spans="2:11">
      <c r="D23" s="330">
        <v>2811661890</v>
      </c>
      <c r="E23" s="16" t="s">
        <v>265</v>
      </c>
      <c r="F23" s="16" t="s">
        <v>263</v>
      </c>
      <c r="G23" s="2">
        <v>1</v>
      </c>
      <c r="H23" s="30"/>
      <c r="I23" s="321">
        <f>VLOOKUP(Table3311[[#This Row],[Part Number]],'2023 Pricing Rework'!$B$31:$F$754,5,FALSE)</f>
        <v>118.33</v>
      </c>
      <c r="J23" s="13">
        <f>VLOOKUP(Table3311[[#This Row],[Part Number]],'2023 Pricing Rework'!$B$31:$F$754,4,FALSE)</f>
        <v>157.77000000000001</v>
      </c>
      <c r="K23" s="13">
        <f>Table3311[[#This Row],[Qty]]*Table3311[[#This Row],[Your Price]]</f>
        <v>0</v>
      </c>
    </row>
    <row r="24" spans="2:11">
      <c r="D24" s="330">
        <v>2811761890</v>
      </c>
      <c r="E24" s="16" t="s">
        <v>7</v>
      </c>
      <c r="F24" s="16" t="s">
        <v>263</v>
      </c>
      <c r="G24" s="2">
        <v>1</v>
      </c>
      <c r="H24" s="30"/>
      <c r="I24" s="321">
        <f>VLOOKUP(Table3311[[#This Row],[Part Number]],'2023 Pricing Rework'!$B$31:$F$754,5,FALSE)</f>
        <v>173.95</v>
      </c>
      <c r="J24" s="13">
        <f>VLOOKUP(Table3311[[#This Row],[Part Number]],'2023 Pricing Rework'!$B$31:$F$754,4,FALSE)</f>
        <v>231.92999999999998</v>
      </c>
      <c r="K24" s="13">
        <f>Table3311[[#This Row],[Qty]]*Table3311[[#This Row],[Your Price]]</f>
        <v>0</v>
      </c>
    </row>
    <row r="25" spans="2:11">
      <c r="D25" s="330">
        <v>2811771890</v>
      </c>
      <c r="E25" s="16" t="s">
        <v>7</v>
      </c>
      <c r="F25" s="16" t="s">
        <v>26</v>
      </c>
      <c r="G25" s="2">
        <v>1</v>
      </c>
      <c r="H25" s="30"/>
      <c r="I25" s="321">
        <f>VLOOKUP(Table3311[[#This Row],[Part Number]],'2023 Pricing Rework'!$B$31:$F$754,5,FALSE)</f>
        <v>170.2</v>
      </c>
      <c r="J25" s="13">
        <f>VLOOKUP(Table3311[[#This Row],[Part Number]],'2023 Pricing Rework'!$B$31:$F$754,4,FALSE)</f>
        <v>226.92999999999998</v>
      </c>
      <c r="K25" s="13">
        <f>Table3311[[#This Row],[Qty]]*Table3311[[#This Row],[Your Price]]</f>
        <v>0</v>
      </c>
    </row>
    <row r="26" spans="2:11">
      <c r="B26" s="19"/>
      <c r="D26" s="330"/>
      <c r="F26" s="16"/>
      <c r="H26" s="111"/>
      <c r="I26" s="110"/>
      <c r="J26" s="110"/>
      <c r="K26" s="12"/>
    </row>
    <row r="27" spans="2:11">
      <c r="D27" s="330"/>
      <c r="F27" s="16"/>
      <c r="H27" s="111"/>
      <c r="I27" s="110"/>
      <c r="J27" s="110"/>
      <c r="K27" s="12"/>
    </row>
    <row r="28" spans="2:11">
      <c r="D28" s="330"/>
      <c r="F28" s="16"/>
      <c r="I28" s="12"/>
      <c r="J28" s="12"/>
      <c r="K28" s="12"/>
    </row>
    <row r="29" spans="2:11" hidden="1">
      <c r="C29" s="376" t="s">
        <v>413</v>
      </c>
      <c r="D29" s="330"/>
      <c r="E29" s="1" t="s">
        <v>32</v>
      </c>
      <c r="F29" s="17" t="s">
        <v>34</v>
      </c>
      <c r="G29" s="19" t="s">
        <v>53</v>
      </c>
      <c r="I29" s="13"/>
      <c r="J29" s="13"/>
      <c r="K29" s="13"/>
    </row>
    <row r="30" spans="2:11" hidden="1">
      <c r="C30" s="377"/>
      <c r="D30" s="330">
        <v>2811662090</v>
      </c>
      <c r="E30" t="s">
        <v>6</v>
      </c>
      <c r="F30" s="16" t="s">
        <v>25</v>
      </c>
      <c r="G30" s="2">
        <v>1</v>
      </c>
      <c r="H30" s="80"/>
      <c r="I30" s="321" t="e">
        <f>VLOOKUP(Table3311[[#This Row],[Part Number]],#REF!,11,FALSE)</f>
        <v>#REF!</v>
      </c>
      <c r="J30" s="13"/>
      <c r="K30" s="13" t="e">
        <f>Table3311[[#This Row],[Qty]]*Table3311[[#This Row],[Your Price]]</f>
        <v>#REF!</v>
      </c>
    </row>
    <row r="31" spans="2:11" hidden="1">
      <c r="D31" s="330"/>
      <c r="F31" s="16"/>
      <c r="I31" s="13"/>
      <c r="J31" s="13"/>
      <c r="K31" s="13"/>
    </row>
    <row r="32" spans="2:11" hidden="1">
      <c r="D32" s="330"/>
      <c r="F32" s="16"/>
      <c r="I32" s="13"/>
      <c r="J32" s="13"/>
      <c r="K32" s="13"/>
    </row>
    <row r="33" spans="1:11" hidden="1">
      <c r="D33" s="330"/>
      <c r="F33" s="16"/>
      <c r="I33" s="13"/>
      <c r="J33" s="13"/>
      <c r="K33" s="13"/>
    </row>
    <row r="34" spans="1:11" hidden="1">
      <c r="D34" s="330"/>
      <c r="F34" s="16"/>
      <c r="I34" s="13"/>
      <c r="J34" s="13"/>
      <c r="K34" s="13"/>
    </row>
    <row r="35" spans="1:11" hidden="1">
      <c r="D35" s="330"/>
      <c r="F35" s="16"/>
      <c r="I35" s="13"/>
      <c r="J35" s="13"/>
      <c r="K35" s="13"/>
    </row>
    <row r="36" spans="1:11" ht="15" thickBot="1">
      <c r="D36" s="330"/>
      <c r="E36" s="1" t="s">
        <v>32</v>
      </c>
      <c r="F36" s="17" t="s">
        <v>34</v>
      </c>
      <c r="G36" s="19" t="s">
        <v>53</v>
      </c>
      <c r="I36" s="13"/>
      <c r="J36" s="13"/>
      <c r="K36" s="13"/>
    </row>
    <row r="37" spans="1:11">
      <c r="B37" s="126" t="s">
        <v>1106</v>
      </c>
      <c r="C37" s="122" t="s">
        <v>1776</v>
      </c>
      <c r="D37" s="330">
        <v>2811111480</v>
      </c>
      <c r="E37" t="s">
        <v>2</v>
      </c>
      <c r="F37" s="16" t="s">
        <v>23</v>
      </c>
      <c r="G37" s="2">
        <v>1</v>
      </c>
      <c r="H37" s="80"/>
      <c r="I37" s="321">
        <f>VLOOKUP(Table3311[[#This Row],[Part Number]],'2023 Pricing Rework'!$B$31:$F$754,5,FALSE)</f>
        <v>65.48</v>
      </c>
      <c r="J37" s="13">
        <f>VLOOKUP(Table3311[[#This Row],[Part Number]],'2023 Pricing Rework'!$B$31:$F$754,4,FALSE)</f>
        <v>87.31</v>
      </c>
      <c r="K37" s="13">
        <f>Table3311[[#This Row],[Qty]]*Table3311[[#This Row],[Your Price]]</f>
        <v>0</v>
      </c>
    </row>
    <row r="38" spans="1:11">
      <c r="B38" s="375" t="s">
        <v>1107</v>
      </c>
      <c r="C38" s="123"/>
      <c r="D38" s="330">
        <v>2811221480</v>
      </c>
      <c r="E38" t="s">
        <v>3</v>
      </c>
      <c r="F38" s="16" t="s">
        <v>22</v>
      </c>
      <c r="G38" s="2">
        <v>1</v>
      </c>
      <c r="H38" s="80"/>
      <c r="I38" s="321">
        <f>VLOOKUP(Table3311[[#This Row],[Part Number]],'2023 Pricing Rework'!$B$31:$F$754,5,FALSE)</f>
        <v>71.27</v>
      </c>
      <c r="J38" s="13">
        <f>VLOOKUP(Table3311[[#This Row],[Part Number]],'2023 Pricing Rework'!$B$31:$F$754,4,FALSE)</f>
        <v>95.03</v>
      </c>
      <c r="K38" s="13">
        <f>Table3311[[#This Row],[Qty]]*Table3311[[#This Row],[Your Price]]</f>
        <v>0</v>
      </c>
    </row>
    <row r="39" spans="1:11" ht="18.5">
      <c r="A39" s="121"/>
      <c r="B39" s="375"/>
      <c r="C39" s="123"/>
      <c r="D39" s="330">
        <v>2811441480</v>
      </c>
      <c r="E39" t="s">
        <v>4</v>
      </c>
      <c r="F39" s="16" t="s">
        <v>37</v>
      </c>
      <c r="G39" s="2">
        <v>1</v>
      </c>
      <c r="H39" s="80"/>
      <c r="I39" s="321">
        <f>VLOOKUP(Table3311[[#This Row],[Part Number]],'2023 Pricing Rework'!$B$31:$F$754,5,FALSE)</f>
        <v>75.73</v>
      </c>
      <c r="J39" s="13">
        <f>VLOOKUP(Table3311[[#This Row],[Part Number]],'2023 Pricing Rework'!$B$31:$F$754,4,FALSE)</f>
        <v>100.97</v>
      </c>
      <c r="K39" s="13">
        <f>Table3311[[#This Row],[Qty]]*Table3311[[#This Row],[Your Price]]</f>
        <v>0</v>
      </c>
    </row>
    <row r="40" spans="1:11" ht="18.5">
      <c r="A40" s="121"/>
      <c r="B40" s="375"/>
      <c r="C40" s="123"/>
      <c r="D40" s="330">
        <v>2811551480</v>
      </c>
      <c r="E40" t="s">
        <v>5</v>
      </c>
      <c r="F40" s="16" t="s">
        <v>24</v>
      </c>
      <c r="G40" s="2">
        <v>1</v>
      </c>
      <c r="H40" s="80"/>
      <c r="I40" s="321">
        <f>VLOOKUP(Table3311[[#This Row],[Part Number]],'2023 Pricing Rework'!$B$31:$F$754,5,FALSE)</f>
        <v>79.63</v>
      </c>
      <c r="J40" s="13">
        <f>VLOOKUP(Table3311[[#This Row],[Part Number]],'2023 Pricing Rework'!$B$31:$F$754,4,FALSE)</f>
        <v>106.17</v>
      </c>
      <c r="K40" s="13">
        <f>Table3311[[#This Row],[Qty]]*Table3311[[#This Row],[Your Price]]</f>
        <v>0</v>
      </c>
    </row>
    <row r="41" spans="1:11" ht="18.5">
      <c r="A41" s="121"/>
      <c r="B41" s="375"/>
      <c r="C41" s="123"/>
      <c r="D41" s="330"/>
      <c r="F41" s="16"/>
      <c r="I41" s="13"/>
      <c r="J41" s="13"/>
      <c r="K41" s="13"/>
    </row>
    <row r="42" spans="1:11" ht="18.5">
      <c r="A42" s="121"/>
      <c r="B42" s="375"/>
      <c r="C42" s="123"/>
      <c r="D42" s="330"/>
      <c r="F42" s="16"/>
      <c r="I42" s="13"/>
      <c r="J42" s="13"/>
      <c r="K42" s="13"/>
    </row>
    <row r="43" spans="1:11" ht="18.5">
      <c r="A43" s="121"/>
      <c r="B43" s="375"/>
      <c r="C43" s="123"/>
      <c r="D43" s="330"/>
      <c r="E43" s="1" t="s">
        <v>32</v>
      </c>
      <c r="F43" s="17" t="s">
        <v>34</v>
      </c>
      <c r="G43" s="19" t="s">
        <v>53</v>
      </c>
      <c r="I43" s="13"/>
      <c r="J43" s="13"/>
      <c r="K43" s="13"/>
    </row>
    <row r="44" spans="1:11" ht="18.5">
      <c r="A44" s="121"/>
      <c r="B44" s="375"/>
      <c r="C44" s="124" t="s">
        <v>1795</v>
      </c>
      <c r="D44" s="330"/>
      <c r="F44" s="16"/>
      <c r="I44" s="13"/>
      <c r="J44" s="13"/>
      <c r="K44" s="13"/>
    </row>
    <row r="45" spans="1:11" ht="18.5">
      <c r="A45" s="121"/>
      <c r="B45" s="375"/>
      <c r="C45" s="123"/>
      <c r="D45" s="330">
        <v>2811661490</v>
      </c>
      <c r="E45" t="s">
        <v>6</v>
      </c>
      <c r="F45" s="16" t="s">
        <v>25</v>
      </c>
      <c r="G45" s="2">
        <v>1</v>
      </c>
      <c r="H45" s="80"/>
      <c r="I45" s="321">
        <f>VLOOKUP(Table3311[[#This Row],[Part Number]],'2023 Pricing Rework'!$B$31:$F$754,5,FALSE)</f>
        <v>104.29</v>
      </c>
      <c r="J45" s="13">
        <f>VLOOKUP(Table3311[[#This Row],[Part Number]],'2023 Pricing Rework'!$B$31:$F$754,4,FALSE)</f>
        <v>139.05000000000001</v>
      </c>
      <c r="K45" s="13">
        <f>Table3311[[#This Row],[Qty]]*Table3311[[#This Row],[Your Price]]</f>
        <v>0</v>
      </c>
    </row>
    <row r="46" spans="1:11" ht="18.5">
      <c r="A46" s="121"/>
      <c r="B46" s="375"/>
      <c r="D46" s="330">
        <v>2811771490</v>
      </c>
      <c r="E46" t="s">
        <v>7</v>
      </c>
      <c r="F46" s="16" t="s">
        <v>26</v>
      </c>
      <c r="G46" s="2">
        <v>1</v>
      </c>
      <c r="H46" s="80"/>
      <c r="I46" s="321">
        <f>VLOOKUP(Table3311[[#This Row],[Part Number]],'2023 Pricing Rework'!$B$31:$F$754,5,FALSE)</f>
        <v>132.4</v>
      </c>
      <c r="J46" s="13">
        <f>VLOOKUP(Table3311[[#This Row],[Part Number]],'2023 Pricing Rework'!$B$31:$F$754,4,FALSE)</f>
        <v>176.53</v>
      </c>
      <c r="K46" s="13">
        <f>Table3311[[#This Row],[Qty]]*Table3311[[#This Row],[Your Price]]</f>
        <v>0</v>
      </c>
    </row>
    <row r="47" spans="1:11" ht="18.5">
      <c r="A47" s="121"/>
      <c r="B47" s="375"/>
      <c r="C47" s="123"/>
      <c r="D47" s="330"/>
      <c r="F47" s="16"/>
      <c r="I47" s="12"/>
      <c r="J47" s="12"/>
      <c r="K47" s="12"/>
    </row>
    <row r="48" spans="1:11" ht="18.5">
      <c r="A48" s="121"/>
      <c r="B48" s="375"/>
      <c r="C48" s="123"/>
      <c r="D48" s="330"/>
      <c r="F48" s="16"/>
      <c r="I48" s="12"/>
      <c r="J48" s="12"/>
      <c r="K48" s="12"/>
    </row>
    <row r="49" spans="1:11" ht="18.5">
      <c r="A49" s="121"/>
      <c r="B49" s="375"/>
      <c r="C49" s="123"/>
      <c r="D49" s="330"/>
      <c r="F49" s="16"/>
      <c r="I49" s="12"/>
      <c r="J49" s="12"/>
      <c r="K49" s="12"/>
    </row>
    <row r="50" spans="1:11" ht="19" thickBot="1">
      <c r="A50" s="121"/>
      <c r="B50" s="375"/>
      <c r="C50" s="125"/>
      <c r="D50" s="330"/>
      <c r="E50" s="1" t="s">
        <v>32</v>
      </c>
      <c r="F50" s="17" t="s">
        <v>34</v>
      </c>
      <c r="G50" s="19" t="s">
        <v>53</v>
      </c>
      <c r="I50" s="13"/>
      <c r="J50" s="13"/>
      <c r="K50" s="13"/>
    </row>
    <row r="51" spans="1:11" ht="27">
      <c r="A51" s="120"/>
      <c r="B51" s="378" t="s">
        <v>415</v>
      </c>
      <c r="C51" s="6" t="s">
        <v>1805</v>
      </c>
      <c r="D51" s="330">
        <v>2811002080</v>
      </c>
      <c r="E51" t="s">
        <v>2</v>
      </c>
      <c r="F51" s="16" t="s">
        <v>20</v>
      </c>
      <c r="G51" s="2">
        <v>1</v>
      </c>
      <c r="H51" s="80"/>
      <c r="I51" s="321">
        <f>VLOOKUP(Table3311[[#This Row],[Part Number]],'2023 Pricing Rework'!$B$31:$F$754,5,FALSE)</f>
        <v>38.79</v>
      </c>
      <c r="J51" s="13">
        <f>VLOOKUP(Table3311[[#This Row],[Part Number]],'2023 Pricing Rework'!$B$31:$F$754,4,FALSE)</f>
        <v>51.72</v>
      </c>
      <c r="K51" s="13">
        <f>Table3311[[#This Row],[Qty]]*Table3311[[#This Row],[Your Price]]</f>
        <v>0</v>
      </c>
    </row>
    <row r="52" spans="1:11">
      <c r="B52" s="379"/>
      <c r="D52" s="330">
        <v>2811102080</v>
      </c>
      <c r="E52" t="s">
        <v>2</v>
      </c>
      <c r="F52" s="16" t="s">
        <v>21</v>
      </c>
      <c r="G52" s="2">
        <v>1</v>
      </c>
      <c r="H52" s="80"/>
      <c r="I52" s="321">
        <f>VLOOKUP(Table3311[[#This Row],[Part Number]],'2023 Pricing Rework'!$B$31:$F$754,5,FALSE)</f>
        <v>38.520000000000003</v>
      </c>
      <c r="J52" s="13">
        <f>VLOOKUP(Table3311[[#This Row],[Part Number]],'2023 Pricing Rework'!$B$31:$F$754,4,FALSE)</f>
        <v>51.36</v>
      </c>
      <c r="K52" s="13">
        <f>Table3311[[#This Row],[Qty]]*Table3311[[#This Row],[Your Price]]</f>
        <v>0</v>
      </c>
    </row>
    <row r="53" spans="1:11">
      <c r="B53" s="379"/>
      <c r="D53" s="330">
        <v>2811202080</v>
      </c>
      <c r="E53" t="s">
        <v>3</v>
      </c>
      <c r="F53" s="16" t="s">
        <v>21</v>
      </c>
      <c r="G53" s="2">
        <v>1</v>
      </c>
      <c r="H53" s="80"/>
      <c r="I53" s="321">
        <f>VLOOKUP(Table3311[[#This Row],[Part Number]],'2023 Pricing Rework'!$B$31:$F$754,5,FALSE)</f>
        <v>44.75</v>
      </c>
      <c r="J53" s="13">
        <f>VLOOKUP(Table3311[[#This Row],[Part Number]],'2023 Pricing Rework'!$B$31:$F$754,4,FALSE)</f>
        <v>59.66</v>
      </c>
      <c r="K53" s="13">
        <f>Table3311[[#This Row],[Qty]]*Table3311[[#This Row],[Your Price]]</f>
        <v>0</v>
      </c>
    </row>
    <row r="54" spans="1:11">
      <c r="B54" s="379"/>
      <c r="D54" s="330">
        <v>2811212080</v>
      </c>
      <c r="E54" t="s">
        <v>3</v>
      </c>
      <c r="F54" s="16" t="s">
        <v>23</v>
      </c>
      <c r="G54" s="2">
        <v>1</v>
      </c>
      <c r="H54" s="80"/>
      <c r="I54" s="321">
        <f>VLOOKUP(Table3311[[#This Row],[Part Number]],'2023 Pricing Rework'!$B$31:$F$754,5,FALSE)</f>
        <v>41.75</v>
      </c>
      <c r="J54" s="13">
        <f>VLOOKUP(Table3311[[#This Row],[Part Number]],'2023 Pricing Rework'!$B$31:$F$754,4,FALSE)</f>
        <v>55.669999999999995</v>
      </c>
      <c r="K54" s="13">
        <f>Table3311[[#This Row],[Qty]]*Table3311[[#This Row],[Your Price]]</f>
        <v>0</v>
      </c>
    </row>
    <row r="55" spans="1:11">
      <c r="B55" s="379"/>
      <c r="D55" s="330">
        <v>2811422080</v>
      </c>
      <c r="E55" t="s">
        <v>4</v>
      </c>
      <c r="F55" s="16" t="s">
        <v>22</v>
      </c>
      <c r="G55" s="2">
        <v>1</v>
      </c>
      <c r="H55" s="80"/>
      <c r="I55" s="321">
        <f>VLOOKUP(Table3311[[#This Row],[Part Number]],'2023 Pricing Rework'!$B$31:$F$754,5,FALSE)</f>
        <v>66.69</v>
      </c>
      <c r="J55" s="13">
        <f>VLOOKUP(Table3311[[#This Row],[Part Number]],'2023 Pricing Rework'!$B$31:$F$754,4,FALSE)</f>
        <v>88.92</v>
      </c>
      <c r="K55" s="13">
        <f>Table3311[[#This Row],[Qty]]*Table3311[[#This Row],[Your Price]]</f>
        <v>0</v>
      </c>
    </row>
    <row r="56" spans="1:11" ht="15" thickBot="1">
      <c r="B56" s="380"/>
      <c r="D56" s="330">
        <v>2811542080</v>
      </c>
      <c r="E56" t="s">
        <v>5</v>
      </c>
      <c r="F56" s="16" t="s">
        <v>37</v>
      </c>
      <c r="G56" s="2">
        <v>1</v>
      </c>
      <c r="H56" s="80"/>
      <c r="I56" s="321">
        <f>VLOOKUP(Table3311[[#This Row],[Part Number]],'2023 Pricing Rework'!$B$31:$F$754,5,FALSE)</f>
        <v>86.86</v>
      </c>
      <c r="J56" s="13">
        <f>VLOOKUP(Table3311[[#This Row],[Part Number]],'2023 Pricing Rework'!$B$31:$F$754,4,FALSE)</f>
        <v>115.81</v>
      </c>
      <c r="K56" s="13">
        <f>Table3311[[#This Row],[Qty]]*Table3311[[#This Row],[Your Price]]</f>
        <v>0</v>
      </c>
    </row>
    <row r="57" spans="1:11">
      <c r="D57" s="330">
        <v>2811552080</v>
      </c>
      <c r="E57" t="s">
        <v>5</v>
      </c>
      <c r="F57" s="16" t="s">
        <v>24</v>
      </c>
      <c r="G57" s="2">
        <v>1</v>
      </c>
      <c r="H57" s="80"/>
      <c r="I57" s="321">
        <f>VLOOKUP(Table3311[[#This Row],[Part Number]],'2023 Pricing Rework'!$B$31:$F$754,5,FALSE)</f>
        <v>44.08</v>
      </c>
      <c r="J57" s="13">
        <f>VLOOKUP(Table3311[[#This Row],[Part Number]],'2023 Pricing Rework'!$B$31:$F$754,4,FALSE)</f>
        <v>58.769999999999996</v>
      </c>
      <c r="K57" s="13">
        <f>Table3311[[#This Row],[Qty]]*Table3311[[#This Row],[Your Price]]</f>
        <v>0</v>
      </c>
    </row>
    <row r="58" spans="1:11">
      <c r="D58" s="330">
        <v>2811652090</v>
      </c>
      <c r="E58" t="s">
        <v>264</v>
      </c>
      <c r="F58" s="16" t="s">
        <v>24</v>
      </c>
      <c r="G58" s="2">
        <v>1</v>
      </c>
      <c r="H58" s="80"/>
      <c r="I58" s="321">
        <f>VLOOKUP(Table3311[[#This Row],[Part Number]],'2023 Pricing Rework'!$B$31:$F$754,5,FALSE)</f>
        <v>155.05000000000001</v>
      </c>
      <c r="J58" s="13">
        <f>VLOOKUP(Table3311[[#This Row],[Part Number]],'2023 Pricing Rework'!$B$31:$F$754,4,FALSE)</f>
        <v>206.73</v>
      </c>
      <c r="K58" s="13">
        <f>Table3311[[#This Row],[Qty]]*Table3311[[#This Row],[Your Price]]</f>
        <v>0</v>
      </c>
    </row>
    <row r="59" spans="1:11" hidden="1">
      <c r="D59" s="330">
        <v>2811662080</v>
      </c>
      <c r="E59" t="s">
        <v>264</v>
      </c>
      <c r="F59" s="16" t="s">
        <v>25</v>
      </c>
      <c r="G59" s="2">
        <v>2</v>
      </c>
      <c r="H59" s="152"/>
      <c r="I59" s="321" t="e">
        <f>VLOOKUP(Table3311[[#This Row],[Part Number]],'2023 Pricing Rework'!$B$31:$F$754,5,FALSE)</f>
        <v>#N/A</v>
      </c>
      <c r="J59" s="13" t="e">
        <f>VLOOKUP(Table3311[[#This Row],[Part Number]],'2023 Pricing Rework'!$B$31:$F$754,4,FALSE)</f>
        <v>#N/A</v>
      </c>
      <c r="K59" s="13" t="e">
        <f>Table3311[[#This Row],[Qty]]*Table3311[[#This Row],[Your Price]]</f>
        <v>#N/A</v>
      </c>
    </row>
    <row r="60" spans="1:11">
      <c r="D60" s="330">
        <v>2811762090</v>
      </c>
      <c r="E60" t="s">
        <v>7</v>
      </c>
      <c r="F60" s="16" t="s">
        <v>25</v>
      </c>
      <c r="G60" s="2">
        <v>1</v>
      </c>
      <c r="H60" s="80"/>
      <c r="I60" s="321">
        <f>VLOOKUP(Table3311[[#This Row],[Part Number]],'2023 Pricing Rework'!$B$31:$F$754,5,FALSE)</f>
        <v>196.88</v>
      </c>
      <c r="J60" s="13">
        <f>VLOOKUP(Table3311[[#This Row],[Part Number]],'2023 Pricing Rework'!$B$31:$F$754,4,FALSE)</f>
        <v>262.51</v>
      </c>
      <c r="K60" s="13">
        <f>Table3311[[#This Row],[Qty]]*Table3311[[#This Row],[Your Price]]</f>
        <v>0</v>
      </c>
    </row>
    <row r="61" spans="1:11">
      <c r="D61" s="330">
        <v>2811772090</v>
      </c>
      <c r="E61" t="s">
        <v>7</v>
      </c>
      <c r="F61" s="16" t="s">
        <v>26</v>
      </c>
      <c r="G61" s="2">
        <v>1</v>
      </c>
      <c r="H61" s="80"/>
      <c r="I61" s="321">
        <f>VLOOKUP(Table3311[[#This Row],[Part Number]],'2023 Pricing Rework'!$B$31:$F$754,5,FALSE)</f>
        <v>196.88</v>
      </c>
      <c r="J61" s="13">
        <f>VLOOKUP(Table3311[[#This Row],[Part Number]],'2023 Pricing Rework'!$B$31:$F$754,4,FALSE)</f>
        <v>262.51</v>
      </c>
      <c r="K61" s="13">
        <f>Table3311[[#This Row],[Qty]]*Table3311[[#This Row],[Your Price]]</f>
        <v>0</v>
      </c>
    </row>
    <row r="62" spans="1:11" s="13" customFormat="1">
      <c r="A62"/>
      <c r="B62" s="1"/>
      <c r="C62" s="1"/>
      <c r="D62" s="2"/>
      <c r="E62"/>
      <c r="F62" s="2"/>
      <c r="G62" s="2"/>
      <c r="H62" s="23"/>
      <c r="I62" s="108"/>
      <c r="J62" s="108"/>
      <c r="K62" s="108"/>
    </row>
    <row r="63" spans="1:11"/>
    <row r="64" spans="1:11"/>
  </sheetData>
  <sheetProtection algorithmName="SHA-512" hashValue="hlFc8BHICShE07WmmiYZDWHrq6Iu1okJ4RoZ3rdbMehmu0yO2THM4ACe/wwOeMwCxheWZmV35QEY1fA3T3E3Jg==" saltValue="ytu25aZGvyvPS4L82me5TA==" spinCount="100000" sheet="1" objects="1" scenarios="1" selectLockedCells="1"/>
  <mergeCells count="5">
    <mergeCell ref="B38:B50"/>
    <mergeCell ref="C20:C21"/>
    <mergeCell ref="D1:G1"/>
    <mergeCell ref="C29:C30"/>
    <mergeCell ref="B51:B56"/>
  </mergeCells>
  <pageMargins left="0.7" right="0.7" top="0.75" bottom="0.75" header="0.3" footer="0.3"/>
  <pageSetup orientation="portrait" r:id="rId1"/>
  <ignoredErrors>
    <ignoredError sqref="K29:K34 K5:K8 K36:K61 K12:K19 K22:K25" calculatedColumn="1"/>
  </ignoredError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5"/>
  </sheetPr>
  <dimension ref="A1:M152"/>
  <sheetViews>
    <sheetView showGridLines="0" showRowColHeader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14.4" customHeight="1"/>
  <cols>
    <col min="1" max="1" width="0.90625" customWidth="1"/>
    <col min="2" max="3" width="25.81640625" style="1" customWidth="1"/>
    <col min="4" max="4" width="14.81640625" style="2" customWidth="1"/>
    <col min="5" max="5" width="20.81640625" customWidth="1"/>
    <col min="6" max="6" width="31.1796875" bestFit="1" customWidth="1"/>
    <col min="7" max="7" width="9.81640625" style="2" customWidth="1"/>
    <col min="8" max="8" width="11.81640625" style="7" customWidth="1"/>
    <col min="9" max="10" width="11.81640625" style="8" customWidth="1"/>
    <col min="11" max="11" width="13.81640625" style="8" customWidth="1"/>
    <col min="12" max="13" width="0" hidden="1" customWidth="1"/>
    <col min="14" max="16384" width="8.90625" hidden="1"/>
  </cols>
  <sheetData>
    <row r="1" spans="1:11" ht="54" customHeight="1">
      <c r="A1" s="133"/>
      <c r="B1" s="136"/>
      <c r="C1" s="135"/>
      <c r="D1" s="367" t="s">
        <v>268</v>
      </c>
      <c r="E1" s="367"/>
      <c r="F1" s="367"/>
      <c r="G1" s="367"/>
      <c r="H1" s="22" t="s">
        <v>283</v>
      </c>
    </row>
    <row r="2" spans="1:11" ht="18.5">
      <c r="A2" s="61"/>
      <c r="B2" s="3"/>
      <c r="C2" s="3" t="s">
        <v>14</v>
      </c>
      <c r="D2" s="4" t="s">
        <v>304</v>
      </c>
      <c r="E2" s="4" t="s">
        <v>350</v>
      </c>
      <c r="F2" s="129" t="s">
        <v>89</v>
      </c>
      <c r="G2" s="4" t="s">
        <v>53</v>
      </c>
      <c r="H2" s="26" t="s">
        <v>207</v>
      </c>
      <c r="I2" s="324" t="s">
        <v>1824</v>
      </c>
      <c r="J2" s="20" t="s">
        <v>1823</v>
      </c>
      <c r="K2" s="20" t="s">
        <v>266</v>
      </c>
    </row>
    <row r="3" spans="1:11" ht="29">
      <c r="A3" s="62"/>
      <c r="B3" s="6" t="s">
        <v>425</v>
      </c>
      <c r="C3" s="5" t="s">
        <v>219</v>
      </c>
      <c r="E3" s="1" t="s">
        <v>326</v>
      </c>
      <c r="F3" s="17" t="s">
        <v>51</v>
      </c>
      <c r="G3" s="19"/>
      <c r="I3" s="13"/>
      <c r="J3" s="13"/>
      <c r="K3" s="13"/>
    </row>
    <row r="4" spans="1:11" ht="14.4" customHeight="1">
      <c r="D4" s="330">
        <v>2811112220</v>
      </c>
      <c r="E4" t="s">
        <v>2</v>
      </c>
      <c r="F4" s="16" t="s">
        <v>354</v>
      </c>
      <c r="G4" s="179">
        <v>20</v>
      </c>
      <c r="H4" s="80"/>
      <c r="I4" s="321">
        <f>VLOOKUP(Table35[[#This Row],[Part Number]],'2023 Pricing Rework'!$B$31:$F$754,5,FALSE)</f>
        <v>35.96</v>
      </c>
      <c r="J4" s="13">
        <f>VLOOKUP(Table35[[#This Row],[Part Number]],'2023 Pricing Rework'!$B$31:$F$754,4,FALSE)</f>
        <v>47.949999999999996</v>
      </c>
      <c r="K4" s="13">
        <f>Table35[[#This Row],[Your Price]]*Table35[[#This Row],[Qty]]</f>
        <v>0</v>
      </c>
    </row>
    <row r="5" spans="1:11" ht="14.4" customHeight="1">
      <c r="D5" s="330">
        <v>2811212220</v>
      </c>
      <c r="E5" t="s">
        <v>3</v>
      </c>
      <c r="F5" s="16" t="s">
        <v>354</v>
      </c>
      <c r="G5" s="180">
        <v>20</v>
      </c>
      <c r="H5" s="80"/>
      <c r="I5" s="321">
        <f>VLOOKUP(Table35[[#This Row],[Part Number]],'2023 Pricing Rework'!$B$31:$F$754,5,FALSE)</f>
        <v>38.43</v>
      </c>
      <c r="J5" s="13">
        <f>VLOOKUP(Table35[[#This Row],[Part Number]],'2023 Pricing Rework'!$B$31:$F$754,4,FALSE)</f>
        <v>51.239999999999995</v>
      </c>
      <c r="K5" s="13">
        <f>Table35[[#This Row],[Your Price]]*Table35[[#This Row],[Qty]]</f>
        <v>0</v>
      </c>
    </row>
    <row r="6" spans="1:11" ht="14.4" customHeight="1">
      <c r="D6" s="330">
        <v>2811412220</v>
      </c>
      <c r="E6" t="s">
        <v>4</v>
      </c>
      <c r="F6" s="16" t="s">
        <v>354</v>
      </c>
      <c r="G6" s="177">
        <v>20</v>
      </c>
      <c r="H6" s="80"/>
      <c r="I6" s="321">
        <f>VLOOKUP(Table35[[#This Row],[Part Number]],'2023 Pricing Rework'!$B$31:$F$754,5,FALSE)</f>
        <v>33.520000000000003</v>
      </c>
      <c r="J6" s="13">
        <f>VLOOKUP(Table35[[#This Row],[Part Number]],'2023 Pricing Rework'!$B$31:$F$754,4,FALSE)</f>
        <v>44.69</v>
      </c>
      <c r="K6" s="13">
        <f>Table35[[#This Row],[Your Price]]*Table35[[#This Row],[Qty]]</f>
        <v>0</v>
      </c>
    </row>
    <row r="7" spans="1:11" ht="14.4" customHeight="1">
      <c r="D7" s="330">
        <v>2811512220</v>
      </c>
      <c r="E7" t="s">
        <v>5</v>
      </c>
      <c r="F7" s="16" t="s">
        <v>354</v>
      </c>
      <c r="G7" s="180">
        <v>20</v>
      </c>
      <c r="H7" s="80"/>
      <c r="I7" s="321">
        <f>VLOOKUP(Table35[[#This Row],[Part Number]],'2023 Pricing Rework'!$B$31:$F$754,5,FALSE)</f>
        <v>58.22</v>
      </c>
      <c r="J7" s="13">
        <f>VLOOKUP(Table35[[#This Row],[Part Number]],'2023 Pricing Rework'!$B$31:$F$754,4,FALSE)</f>
        <v>77.63000000000001</v>
      </c>
      <c r="K7" s="13">
        <f>Table35[[#This Row],[Your Price]]*Table35[[#This Row],[Qty]]</f>
        <v>0</v>
      </c>
    </row>
    <row r="8" spans="1:11" ht="14.4" customHeight="1">
      <c r="D8" s="330">
        <v>2811612220</v>
      </c>
      <c r="E8" t="s">
        <v>6</v>
      </c>
      <c r="F8" s="16" t="s">
        <v>355</v>
      </c>
      <c r="G8" s="180">
        <v>20</v>
      </c>
      <c r="H8" s="80"/>
      <c r="I8" s="321">
        <f>VLOOKUP(Table35[[#This Row],[Part Number]],'2023 Pricing Rework'!$B$31:$F$754,5,FALSE)</f>
        <v>119.54</v>
      </c>
      <c r="J8" s="13">
        <f>VLOOKUP(Table35[[#This Row],[Part Number]],'2023 Pricing Rework'!$B$31:$F$754,4,FALSE)</f>
        <v>159.38999999999999</v>
      </c>
      <c r="K8" s="13">
        <f>Table35[[#This Row],[Your Price]]*Table35[[#This Row],[Qty]]</f>
        <v>0</v>
      </c>
    </row>
    <row r="9" spans="1:11" ht="14.4" customHeight="1">
      <c r="D9" s="330">
        <v>2811712220</v>
      </c>
      <c r="E9" t="s">
        <v>7</v>
      </c>
      <c r="F9" s="16" t="s">
        <v>355</v>
      </c>
      <c r="G9" s="178">
        <v>20</v>
      </c>
      <c r="H9" s="80"/>
      <c r="I9" s="321">
        <f>VLOOKUP(Table35[[#This Row],[Part Number]],'2023 Pricing Rework'!$B$31:$F$754,5,FALSE)</f>
        <v>121.52</v>
      </c>
      <c r="J9" s="13">
        <f>VLOOKUP(Table35[[#This Row],[Part Number]],'2023 Pricing Rework'!$B$31:$F$754,4,FALSE)</f>
        <v>162.01999999999998</v>
      </c>
      <c r="K9" s="13">
        <f>Table35[[#This Row],[Your Price]]*Table35[[#This Row],[Qty]]</f>
        <v>0</v>
      </c>
    </row>
    <row r="10" spans="1:11" ht="14.4" customHeight="1">
      <c r="D10" s="330">
        <v>1312101361</v>
      </c>
      <c r="E10" t="s">
        <v>9</v>
      </c>
      <c r="F10" s="16" t="s">
        <v>52</v>
      </c>
      <c r="G10" s="241">
        <v>1</v>
      </c>
      <c r="H10" s="80"/>
      <c r="I10" s="321">
        <f>VLOOKUP(Table35[[#This Row],[Part Number]],'2023 Pricing Rework'!$B$31:$F$754,5,FALSE)</f>
        <v>19.489999999999998</v>
      </c>
      <c r="J10" s="13">
        <f>VLOOKUP(Table35[[#This Row],[Part Number]],'2023 Pricing Rework'!$B$31:$F$754,4,FALSE)</f>
        <v>25.99</v>
      </c>
      <c r="K10" s="13">
        <f>Table35[[#This Row],[Your Price]]*Table35[[#This Row],[Qty]]</f>
        <v>0</v>
      </c>
    </row>
    <row r="11" spans="1:11" ht="14.4" customHeight="1">
      <c r="D11" s="330">
        <v>2810912210</v>
      </c>
      <c r="E11" t="s">
        <v>10</v>
      </c>
      <c r="F11" s="16" t="s">
        <v>52</v>
      </c>
      <c r="G11" s="179">
        <v>10</v>
      </c>
      <c r="H11" s="80"/>
      <c r="I11" s="321">
        <f>VLOOKUP(Table35[[#This Row],[Part Number]],'2023 Pricing Rework'!$B$31:$F$754,5,FALSE)</f>
        <v>160.13</v>
      </c>
      <c r="J11" s="13">
        <f>VLOOKUP(Table35[[#This Row],[Part Number]],'2023 Pricing Rework'!$B$31:$F$754,4,FALSE)</f>
        <v>213.5</v>
      </c>
      <c r="K11" s="13">
        <f>Table35[[#This Row],[Your Price]]*Table35[[#This Row],[Qty]]</f>
        <v>0</v>
      </c>
    </row>
    <row r="12" spans="1:11" ht="14.5">
      <c r="C12" s="6" t="s">
        <v>322</v>
      </c>
      <c r="D12" s="330"/>
      <c r="F12" s="16" t="s">
        <v>392</v>
      </c>
      <c r="G12" s="181"/>
      <c r="H12" s="2"/>
      <c r="I12" s="2"/>
      <c r="J12" s="327"/>
    </row>
    <row r="13" spans="1:11" ht="14.4" customHeight="1">
      <c r="D13" s="330">
        <v>2811002710</v>
      </c>
      <c r="E13" t="s">
        <v>323</v>
      </c>
      <c r="F13" s="16">
        <v>15</v>
      </c>
      <c r="G13" s="179">
        <v>10</v>
      </c>
      <c r="H13" s="80"/>
      <c r="I13" s="321">
        <f>VLOOKUP(Table35[[#This Row],[Part Number]],'2023 Pricing Rework'!$B$31:$F$754,5,FALSE)</f>
        <v>17.48</v>
      </c>
      <c r="J13" s="13">
        <f>VLOOKUP(Table35[[#This Row],[Part Number]],'2023 Pricing Rework'!$B$31:$F$754,4,FALSE)</f>
        <v>23.310000000000002</v>
      </c>
      <c r="K13" s="13">
        <f>Table35[[#This Row],[Your Price]]*Table35[[#This Row],[Qty]]</f>
        <v>0</v>
      </c>
    </row>
    <row r="14" spans="1:11" ht="14.4" customHeight="1">
      <c r="D14" s="330">
        <v>2811012710</v>
      </c>
      <c r="E14" t="s">
        <v>324</v>
      </c>
      <c r="F14" s="16">
        <v>20</v>
      </c>
      <c r="G14" s="179">
        <v>10</v>
      </c>
      <c r="H14" s="80"/>
      <c r="I14" s="321">
        <f>VLOOKUP(Table35[[#This Row],[Part Number]],'2023 Pricing Rework'!$B$31:$F$754,5,FALSE)</f>
        <v>34.840000000000003</v>
      </c>
      <c r="J14" s="13">
        <f>VLOOKUP(Table35[[#This Row],[Part Number]],'2023 Pricing Rework'!$B$31:$F$754,4,FALSE)</f>
        <v>46.449999999999996</v>
      </c>
      <c r="K14" s="13">
        <f>Table35[[#This Row],[Your Price]]*Table35[[#This Row],[Qty]]</f>
        <v>0</v>
      </c>
    </row>
    <row r="15" spans="1:11" ht="14.4" customHeight="1">
      <c r="D15" s="330">
        <v>2811022710</v>
      </c>
      <c r="E15" t="s">
        <v>325</v>
      </c>
      <c r="F15" s="16">
        <v>30</v>
      </c>
      <c r="G15" s="179">
        <v>10</v>
      </c>
      <c r="H15" s="80"/>
      <c r="I15" s="321">
        <f>VLOOKUP(Table35[[#This Row],[Part Number]],'2023 Pricing Rework'!$B$31:$F$754,5,FALSE)</f>
        <v>48.02</v>
      </c>
      <c r="J15" s="13">
        <f>VLOOKUP(Table35[[#This Row],[Part Number]],'2023 Pricing Rework'!$B$31:$F$754,4,FALSE)</f>
        <v>64.03</v>
      </c>
      <c r="K15" s="13">
        <f>Table35[[#This Row],[Your Price]]*Table35[[#This Row],[Qty]]</f>
        <v>0</v>
      </c>
    </row>
    <row r="16" spans="1:11" ht="14.4" customHeight="1">
      <c r="D16" s="330">
        <v>2810032710</v>
      </c>
      <c r="E16" t="s">
        <v>9</v>
      </c>
      <c r="F16" s="16">
        <v>50</v>
      </c>
      <c r="G16" s="180">
        <v>10</v>
      </c>
      <c r="H16" s="80"/>
      <c r="I16" s="321">
        <f>VLOOKUP(Table35[[#This Row],[Part Number]],'2023 Pricing Rework'!$B$31:$F$754,5,FALSE)</f>
        <v>180.08</v>
      </c>
      <c r="J16" s="13">
        <f>VLOOKUP(Table35[[#This Row],[Part Number]],'2023 Pricing Rework'!$B$31:$F$754,4,FALSE)</f>
        <v>240.1</v>
      </c>
      <c r="K16" s="13">
        <f>Table35[[#This Row],[Your Price]]*Table35[[#This Row],[Qty]]</f>
        <v>0</v>
      </c>
    </row>
    <row r="17" spans="1:13" ht="14.4" customHeight="1">
      <c r="D17" s="330"/>
      <c r="F17" s="16"/>
      <c r="H17" s="2"/>
      <c r="I17" s="13"/>
      <c r="J17" s="13"/>
      <c r="K17" s="13"/>
    </row>
    <row r="18" spans="1:13" ht="27">
      <c r="C18" s="6" t="s">
        <v>1767</v>
      </c>
      <c r="D18" s="330"/>
      <c r="E18" s="1" t="s">
        <v>1</v>
      </c>
      <c r="F18" s="17" t="s">
        <v>55</v>
      </c>
      <c r="I18" s="13"/>
      <c r="J18" s="13"/>
      <c r="K18" s="13"/>
    </row>
    <row r="19" spans="1:13" ht="14.4" customHeight="1">
      <c r="D19" s="330">
        <v>2811017200</v>
      </c>
      <c r="E19" t="s">
        <v>85</v>
      </c>
      <c r="F19" s="16" t="s">
        <v>56</v>
      </c>
      <c r="G19" s="2">
        <v>1</v>
      </c>
      <c r="H19" s="80"/>
      <c r="I19" s="321">
        <f>VLOOKUP(Table35[[#This Row],[Part Number]],'2023 Pricing Rework'!$B$31:$F$754,5,FALSE)</f>
        <v>2.59</v>
      </c>
      <c r="J19" s="13">
        <f>VLOOKUP(Table35[[#This Row],[Part Number]],'2023 Pricing Rework'!$B$31:$F$754,4,FALSE)</f>
        <v>3.4499999999999997</v>
      </c>
      <c r="K19" s="13">
        <f>Table35[[#This Row],[Your Price]]*Table35[[#This Row],[Qty]]</f>
        <v>0</v>
      </c>
    </row>
    <row r="20" spans="1:13" ht="14.4" customHeight="1">
      <c r="D20" s="330">
        <v>2811027200</v>
      </c>
      <c r="E20" t="s">
        <v>86</v>
      </c>
      <c r="F20" s="16" t="s">
        <v>57</v>
      </c>
      <c r="G20" s="2">
        <v>1</v>
      </c>
      <c r="H20" s="80"/>
      <c r="I20" s="321">
        <f>VLOOKUP(Table35[[#This Row],[Part Number]],'2023 Pricing Rework'!$B$31:$F$754,5,FALSE)</f>
        <v>3.03</v>
      </c>
      <c r="J20" s="13">
        <f>VLOOKUP(Table35[[#This Row],[Part Number]],'2023 Pricing Rework'!$B$31:$F$754,4,FALSE)</f>
        <v>4.04</v>
      </c>
      <c r="K20" s="13">
        <f>Table35[[#This Row],[Your Price]]*Table35[[#This Row],[Qty]]</f>
        <v>0</v>
      </c>
    </row>
    <row r="21" spans="1:13" ht="14.4" hidden="1" customHeight="1">
      <c r="D21" s="330">
        <v>2811037200</v>
      </c>
      <c r="E21" t="s">
        <v>87</v>
      </c>
      <c r="F21" s="16" t="s">
        <v>58</v>
      </c>
      <c r="G21" s="2">
        <v>1</v>
      </c>
      <c r="H21" s="80"/>
      <c r="I21" s="13" t="e">
        <f>VLOOKUP(D21,#REF!,5,FALSE)</f>
        <v>#REF!</v>
      </c>
      <c r="J21" s="13" t="e">
        <f>VLOOKUP(Table35[[#This Row],[Part Number]],'2023 Pricing Rework'!$B$31:$F$754,4,FALSE)</f>
        <v>#N/A</v>
      </c>
      <c r="K21" s="13" t="e">
        <f>Table35[[#This Row],[Your Price]]*Table35[[#This Row],[Qty]]</f>
        <v>#REF!</v>
      </c>
    </row>
    <row r="22" spans="1:13" ht="14.4" customHeight="1">
      <c r="D22" s="330"/>
      <c r="F22" s="16"/>
      <c r="I22" s="13"/>
      <c r="J22" s="13"/>
      <c r="K22" s="13"/>
    </row>
    <row r="23" spans="1:13" ht="14.4" customHeight="1">
      <c r="D23" s="330"/>
      <c r="F23" s="16"/>
      <c r="I23" s="13"/>
      <c r="J23" s="13"/>
      <c r="K23" s="13"/>
    </row>
    <row r="24" spans="1:13" ht="14.4" customHeight="1">
      <c r="D24" s="330"/>
      <c r="F24" s="16"/>
      <c r="I24" s="13"/>
      <c r="J24" s="13"/>
      <c r="K24" s="13"/>
    </row>
    <row r="25" spans="1:13" ht="14.4" customHeight="1">
      <c r="A25" s="62"/>
      <c r="B25" s="5" t="s">
        <v>424</v>
      </c>
      <c r="C25" s="5" t="s">
        <v>59</v>
      </c>
      <c r="D25" s="330"/>
      <c r="E25" s="1" t="s">
        <v>1</v>
      </c>
      <c r="F25" s="17" t="s">
        <v>55</v>
      </c>
      <c r="I25" s="13"/>
      <c r="J25" s="13"/>
      <c r="K25" s="13"/>
    </row>
    <row r="26" spans="1:13" ht="14.4" customHeight="1">
      <c r="D26" s="330">
        <v>1310074482</v>
      </c>
      <c r="E26" t="s">
        <v>60</v>
      </c>
      <c r="F26" s="16" t="s">
        <v>56</v>
      </c>
      <c r="G26" s="2">
        <v>1</v>
      </c>
      <c r="H26" s="80"/>
      <c r="I26" s="321">
        <f>VLOOKUP(Table35[[#This Row],[Part Number]],'2023 Pricing Rework'!$B$31:$F$754,5,FALSE)</f>
        <v>6.56</v>
      </c>
      <c r="J26" s="13">
        <f>VLOOKUP(Table35[[#This Row],[Part Number]],'2023 Pricing Rework'!$B$31:$F$754,4,FALSE)</f>
        <v>8.75</v>
      </c>
      <c r="K26" s="13">
        <f>Table35[[#This Row],[Your Price]]*Table35[[#This Row],[Qty]]</f>
        <v>0</v>
      </c>
    </row>
    <row r="27" spans="1:13" ht="14.4" customHeight="1">
      <c r="D27" s="330">
        <v>1310074483</v>
      </c>
      <c r="E27" t="s">
        <v>61</v>
      </c>
      <c r="F27" s="16" t="s">
        <v>369</v>
      </c>
      <c r="G27" s="2">
        <v>1</v>
      </c>
      <c r="H27" s="80"/>
      <c r="I27" s="321">
        <f>VLOOKUP(Table35[[#This Row],[Part Number]],'2023 Pricing Rework'!$B$31:$F$754,5,FALSE)</f>
        <v>9.27</v>
      </c>
      <c r="J27" s="13">
        <f>VLOOKUP(Table35[[#This Row],[Part Number]],'2023 Pricing Rework'!$B$31:$F$754,4,FALSE)</f>
        <v>12.36</v>
      </c>
      <c r="K27" s="13">
        <f>Table35[[#This Row],[Your Price]]*Table35[[#This Row],[Qty]]</f>
        <v>0</v>
      </c>
    </row>
    <row r="28" spans="1:13" ht="14.4" hidden="1" customHeight="1">
      <c r="D28" s="330">
        <v>2810003610</v>
      </c>
      <c r="E28" t="s">
        <v>20</v>
      </c>
      <c r="F28" s="16" t="s">
        <v>367</v>
      </c>
      <c r="G28" s="179">
        <v>10</v>
      </c>
      <c r="H28" s="80"/>
      <c r="I28" s="321">
        <f>VLOOKUP(Table35[[#This Row],[Part Number]],'2023 Pricing Rework'!$B$31:$F$754,5,FALSE)</f>
        <v>77.489999999999995</v>
      </c>
      <c r="J28" s="13">
        <f>VLOOKUP(Table35[[#This Row],[Part Number]],'2023 Pricing Rework'!$B$31:$F$754,4,FALSE)</f>
        <v>103.32000000000001</v>
      </c>
      <c r="K28" s="13">
        <f>Table35[[#This Row],[Your Price]]*Table35[[#This Row],[Qty]]</f>
        <v>0</v>
      </c>
    </row>
    <row r="29" spans="1:13" ht="14" customHeight="1">
      <c r="D29" s="330"/>
      <c r="F29" s="16"/>
      <c r="G29" s="181"/>
      <c r="I29" s="13"/>
      <c r="J29" s="13"/>
      <c r="K29" s="13"/>
    </row>
    <row r="30" spans="1:13" ht="14.4" customHeight="1">
      <c r="D30" s="330"/>
      <c r="F30" s="16"/>
      <c r="I30" s="13"/>
      <c r="J30" s="13"/>
      <c r="K30" s="13"/>
    </row>
    <row r="31" spans="1:13" ht="14.4" customHeight="1">
      <c r="D31" s="330"/>
      <c r="F31" s="16"/>
      <c r="I31" s="12"/>
      <c r="J31" s="12"/>
      <c r="K31" s="12"/>
    </row>
    <row r="32" spans="1:13" ht="14.4" customHeight="1">
      <c r="C32" s="5" t="s">
        <v>1843</v>
      </c>
      <c r="D32" s="330"/>
      <c r="E32" s="1" t="s">
        <v>1</v>
      </c>
      <c r="F32" s="17" t="s">
        <v>55</v>
      </c>
      <c r="I32" s="13"/>
      <c r="J32" s="13"/>
      <c r="K32" s="13"/>
      <c r="L32" s="14"/>
      <c r="M32" s="15"/>
    </row>
    <row r="33" spans="1:13" ht="14.4" customHeight="1">
      <c r="D33" s="330">
        <v>1310074250</v>
      </c>
      <c r="E33" t="s">
        <v>60</v>
      </c>
      <c r="F33" s="16" t="s">
        <v>56</v>
      </c>
      <c r="G33" s="2">
        <v>1</v>
      </c>
      <c r="H33" s="80"/>
      <c r="I33" s="321">
        <f>VLOOKUP(Table35[[#This Row],[Part Number]],'2023 Pricing Rework'!$B$31:$F$754,5,FALSE)</f>
        <v>2.14</v>
      </c>
      <c r="J33" s="13">
        <f>VLOOKUP(Table35[[#This Row],[Part Number]],'2023 Pricing Rework'!$B$31:$F$754,4,FALSE)</f>
        <v>2.85</v>
      </c>
      <c r="K33" s="13">
        <f>Table35[[#This Row],[Your Price]]*Table35[[#This Row],[Qty]]</f>
        <v>0</v>
      </c>
      <c r="L33" s="14"/>
      <c r="M33" s="15"/>
    </row>
    <row r="34" spans="1:13" ht="14.4" customHeight="1">
      <c r="D34" s="330">
        <v>1310074413</v>
      </c>
      <c r="E34" t="s">
        <v>61</v>
      </c>
      <c r="F34" s="16" t="s">
        <v>57</v>
      </c>
      <c r="G34" s="2">
        <v>1</v>
      </c>
      <c r="H34" s="80"/>
      <c r="I34" s="321">
        <f>VLOOKUP(Table35[[#This Row],[Part Number]],'2023 Pricing Rework'!$B$31:$F$754,5,FALSE)</f>
        <v>5.4</v>
      </c>
      <c r="J34" s="13">
        <f>VLOOKUP(Table35[[#This Row],[Part Number]],'2023 Pricing Rework'!$B$31:$F$754,4,FALSE)</f>
        <v>7.2</v>
      </c>
      <c r="K34" s="13">
        <f>Table35[[#This Row],[Your Price]]*Table35[[#This Row],[Qty]]</f>
        <v>0</v>
      </c>
      <c r="L34" s="14"/>
      <c r="M34" s="15"/>
    </row>
    <row r="35" spans="1:13" ht="14.4" customHeight="1">
      <c r="D35" s="330">
        <v>1310073618</v>
      </c>
      <c r="E35" t="s">
        <v>20</v>
      </c>
      <c r="F35" s="16" t="s">
        <v>367</v>
      </c>
      <c r="G35" s="2">
        <v>1</v>
      </c>
      <c r="H35" s="80"/>
      <c r="I35" s="321">
        <f>VLOOKUP(Table35[[#This Row],[Part Number]],'2023 Pricing Rework'!$B$31:$F$754,5,FALSE)</f>
        <v>5.57</v>
      </c>
      <c r="J35" s="13">
        <f>VLOOKUP(Table35[[#This Row],[Part Number]],'2023 Pricing Rework'!$B$31:$F$754,4,FALSE)</f>
        <v>7.42</v>
      </c>
      <c r="K35" s="13">
        <f>Table35[[#This Row],[Your Price]]*Table35[[#This Row],[Qty]]</f>
        <v>0</v>
      </c>
      <c r="L35" s="14"/>
      <c r="M35" s="15"/>
    </row>
    <row r="36" spans="1:13" ht="14" customHeight="1">
      <c r="D36" s="330"/>
      <c r="F36" s="16"/>
      <c r="I36" s="13"/>
      <c r="J36" s="13"/>
      <c r="K36" s="13"/>
      <c r="L36" s="14"/>
      <c r="M36" s="15"/>
    </row>
    <row r="37" spans="1:13" ht="14" customHeight="1">
      <c r="D37" s="330"/>
      <c r="F37" s="16"/>
      <c r="I37" s="13"/>
      <c r="J37" s="13"/>
      <c r="K37" s="13"/>
      <c r="L37" s="14"/>
      <c r="M37" s="15"/>
    </row>
    <row r="38" spans="1:13" ht="14.4" customHeight="1">
      <c r="D38" s="330"/>
      <c r="F38" s="16"/>
      <c r="I38" s="13"/>
      <c r="J38" s="13"/>
      <c r="K38" s="13"/>
    </row>
    <row r="39" spans="1:13" ht="14.5" hidden="1">
      <c r="A39" s="62"/>
      <c r="B39" s="6" t="s">
        <v>423</v>
      </c>
      <c r="C39" s="5" t="s">
        <v>208</v>
      </c>
      <c r="D39" s="330"/>
      <c r="E39" s="1" t="s">
        <v>48</v>
      </c>
      <c r="F39" s="16"/>
      <c r="I39" s="13"/>
      <c r="J39" s="13"/>
      <c r="K39" s="13"/>
    </row>
    <row r="40" spans="1:13" ht="14.5" hidden="1">
      <c r="B40" s="10"/>
      <c r="C40" s="9"/>
      <c r="D40" s="330">
        <v>2810003005</v>
      </c>
      <c r="E40" t="s">
        <v>50</v>
      </c>
      <c r="F40" s="16" t="s">
        <v>356</v>
      </c>
      <c r="G40" s="2">
        <v>1</v>
      </c>
      <c r="H40" s="80"/>
      <c r="I40" s="13" t="e">
        <f>VLOOKUP(Table35[[#This Row],[Part Number]],#REF!,11,FALSE)</f>
        <v>#REF!</v>
      </c>
      <c r="J40" s="13"/>
      <c r="K40" s="13" t="e">
        <f>Table35[[#This Row],[Your Price]]*Table35[[#This Row],[Qty]]</f>
        <v>#REF!</v>
      </c>
    </row>
    <row r="41" spans="1:13" ht="14.5" hidden="1">
      <c r="B41" s="10"/>
      <c r="C41" s="9"/>
      <c r="D41" s="330"/>
      <c r="F41" s="16"/>
      <c r="I41" s="13"/>
      <c r="J41" s="13"/>
      <c r="K41" s="13"/>
    </row>
    <row r="42" spans="1:13" ht="14.5" hidden="1">
      <c r="B42" s="10"/>
      <c r="C42" s="9"/>
      <c r="D42" s="330"/>
      <c r="F42" s="16"/>
      <c r="I42" s="13"/>
      <c r="J42" s="13"/>
      <c r="K42" s="13"/>
    </row>
    <row r="43" spans="1:13" ht="14.5" hidden="1">
      <c r="B43" s="10"/>
      <c r="C43" s="9"/>
      <c r="D43" s="330"/>
      <c r="F43" s="16"/>
      <c r="I43" s="13"/>
      <c r="J43" s="13"/>
      <c r="K43" s="13"/>
    </row>
    <row r="44" spans="1:13" ht="14.5" hidden="1">
      <c r="B44" s="10"/>
      <c r="C44" s="9"/>
      <c r="D44" s="330"/>
      <c r="F44" s="16"/>
      <c r="I44" s="13"/>
      <c r="J44" s="13"/>
      <c r="K44" s="13"/>
    </row>
    <row r="45" spans="1:13" ht="14.4" hidden="1" customHeight="1">
      <c r="C45" s="376" t="s">
        <v>209</v>
      </c>
      <c r="D45" s="330"/>
      <c r="F45" s="16"/>
      <c r="I45" s="13"/>
      <c r="J45" s="13"/>
      <c r="K45" s="13"/>
    </row>
    <row r="46" spans="1:13" ht="14.4" hidden="1" customHeight="1">
      <c r="C46" s="376"/>
      <c r="D46" s="330"/>
      <c r="F46" s="16"/>
      <c r="I46" s="13"/>
      <c r="J46" s="13"/>
      <c r="K46" s="13"/>
    </row>
    <row r="47" spans="1:13" ht="14.4" hidden="1" customHeight="1">
      <c r="D47" s="330">
        <v>2810003105</v>
      </c>
      <c r="F47" s="16" t="s">
        <v>422</v>
      </c>
      <c r="G47" s="2">
        <v>1</v>
      </c>
      <c r="H47" s="80"/>
      <c r="I47" s="13" t="e">
        <f>VLOOKUP(Table35[[#This Row],[Part Number]],#REF!,11,FALSE)</f>
        <v>#REF!</v>
      </c>
      <c r="J47" s="13"/>
      <c r="K47" s="13" t="e">
        <f>Table35[[#This Row],[Your Price]]*Table35[[#This Row],[Qty]]</f>
        <v>#REF!</v>
      </c>
    </row>
    <row r="48" spans="1:13" ht="14" hidden="1" customHeight="1">
      <c r="D48" s="330"/>
      <c r="F48" s="16"/>
      <c r="I48" s="13"/>
      <c r="J48" s="13"/>
      <c r="K48" s="13"/>
    </row>
    <row r="49" spans="1:11" ht="14.4" hidden="1" customHeight="1">
      <c r="D49" s="330"/>
      <c r="F49" s="16"/>
      <c r="I49" s="13"/>
      <c r="J49" s="13"/>
      <c r="K49" s="13"/>
    </row>
    <row r="50" spans="1:11" ht="14.4" hidden="1" customHeight="1">
      <c r="D50" s="330"/>
      <c r="F50" s="16"/>
      <c r="I50" s="13"/>
      <c r="J50" s="13"/>
      <c r="K50" s="13"/>
    </row>
    <row r="51" spans="1:11" ht="14.4" hidden="1" customHeight="1">
      <c r="D51" s="330"/>
      <c r="F51" s="16"/>
      <c r="I51" s="13"/>
      <c r="J51" s="13"/>
      <c r="K51" s="13"/>
    </row>
    <row r="52" spans="1:11" ht="14.4" hidden="1" customHeight="1">
      <c r="D52" s="330"/>
      <c r="F52" s="16"/>
      <c r="I52" s="13"/>
      <c r="J52" s="13"/>
      <c r="K52" s="13"/>
    </row>
    <row r="53" spans="1:11" ht="14.4" customHeight="1">
      <c r="D53" s="330"/>
      <c r="F53" s="16"/>
      <c r="I53" s="110"/>
      <c r="J53" s="110"/>
      <c r="K53" s="13"/>
    </row>
    <row r="54" spans="1:11" ht="14.4" customHeight="1">
      <c r="B54" s="10"/>
      <c r="C54" s="5" t="s">
        <v>46</v>
      </c>
      <c r="D54" s="330"/>
      <c r="E54" s="1" t="s">
        <v>48</v>
      </c>
      <c r="F54" s="16"/>
      <c r="I54" s="13"/>
      <c r="J54" s="13"/>
      <c r="K54" s="13"/>
    </row>
    <row r="55" spans="1:11" ht="14.4" hidden="1" customHeight="1">
      <c r="D55" s="330">
        <v>2810013200</v>
      </c>
      <c r="E55" t="s">
        <v>47</v>
      </c>
      <c r="F55" s="16"/>
      <c r="G55" s="2">
        <v>1</v>
      </c>
      <c r="H55" s="80"/>
      <c r="I55" s="13" t="e">
        <f>VLOOKUP(Table35[[#This Row],[Part Number]],#REF!,11,FALSE)</f>
        <v>#REF!</v>
      </c>
      <c r="J55" s="13">
        <f>VLOOKUP(Table35[[#This Row],[Part Number]],'2023 Pricing Rework'!$B$31:$F$754,4,FALSE)</f>
        <v>35.909999999999997</v>
      </c>
      <c r="K55" s="13" t="e">
        <f>Table35[[#This Row],[Your Price]]*Table35[[#This Row],[Qty]]</f>
        <v>#REF!</v>
      </c>
    </row>
    <row r="56" spans="1:11" ht="14.4" customHeight="1">
      <c r="D56" s="330">
        <v>2810003205</v>
      </c>
      <c r="E56" t="s">
        <v>49</v>
      </c>
      <c r="F56" s="16"/>
      <c r="G56" s="180">
        <v>5</v>
      </c>
      <c r="H56" s="80"/>
      <c r="I56" s="321">
        <f>VLOOKUP(Table35[[#This Row],[Part Number]],'2023 Pricing Rework'!$B$31:$F$754,5,FALSE)</f>
        <v>96.62</v>
      </c>
      <c r="J56" s="13">
        <f>VLOOKUP(Table35[[#This Row],[Part Number]],'2023 Pricing Rework'!$B$31:$F$754,4,FALSE)</f>
        <v>128.82</v>
      </c>
      <c r="K56" s="13">
        <f>Table35[[#This Row],[Your Price]]*Table35[[#This Row],[Qty]]</f>
        <v>0</v>
      </c>
    </row>
    <row r="57" spans="1:11" ht="14.4" customHeight="1">
      <c r="D57" s="330"/>
      <c r="F57" s="16"/>
      <c r="I57" s="13"/>
      <c r="J57" s="13"/>
      <c r="K57" s="13"/>
    </row>
    <row r="58" spans="1:11" ht="14" customHeight="1">
      <c r="D58" s="330"/>
      <c r="F58" s="16"/>
      <c r="I58" s="13"/>
      <c r="J58" s="13"/>
      <c r="K58" s="13"/>
    </row>
    <row r="59" spans="1:11" ht="14.4" customHeight="1">
      <c r="D59" s="330"/>
      <c r="F59" s="16"/>
      <c r="I59" s="13"/>
      <c r="J59" s="13"/>
      <c r="K59" s="13"/>
    </row>
    <row r="60" spans="1:11" ht="14.4" customHeight="1">
      <c r="D60" s="330"/>
      <c r="F60" s="16"/>
      <c r="I60" s="13"/>
      <c r="J60" s="13"/>
      <c r="K60" s="13"/>
    </row>
    <row r="61" spans="1:11" ht="14.4" customHeight="1">
      <c r="A61" s="62"/>
      <c r="B61" s="5" t="s">
        <v>211</v>
      </c>
      <c r="C61" s="5" t="s">
        <v>212</v>
      </c>
      <c r="D61" s="330"/>
      <c r="E61" s="1" t="s">
        <v>48</v>
      </c>
      <c r="F61" s="16"/>
      <c r="I61" s="13"/>
      <c r="J61" s="13"/>
      <c r="K61" s="13"/>
    </row>
    <row r="62" spans="1:11" ht="14.4" hidden="1" customHeight="1">
      <c r="C62" s="9" t="s">
        <v>214</v>
      </c>
      <c r="D62" s="330">
        <v>2810023805</v>
      </c>
      <c r="E62" t="s">
        <v>218</v>
      </c>
      <c r="F62" s="16"/>
      <c r="G62" s="179">
        <v>5</v>
      </c>
      <c r="H62" s="80"/>
      <c r="I62" s="321">
        <f>VLOOKUP(Table35[[#This Row],[Part Number]],'2023 Pricing Rework'!$B$31:$F$754,5,FALSE)</f>
        <v>30.12</v>
      </c>
      <c r="J62" s="13">
        <f>VLOOKUP(Table35[[#This Row],[Part Number]],'2023 Pricing Rework'!$B$31:$F$754,4,FALSE)</f>
        <v>40.159999999999997</v>
      </c>
      <c r="K62" s="13">
        <f>Table35[[#This Row],[Your Price]]*Table35[[#This Row],[Qty]]</f>
        <v>0</v>
      </c>
    </row>
    <row r="63" spans="1:11" ht="14.4" customHeight="1">
      <c r="C63" s="9" t="s">
        <v>214</v>
      </c>
      <c r="D63" s="330">
        <v>2810023810</v>
      </c>
      <c r="E63" t="s">
        <v>218</v>
      </c>
      <c r="F63" s="16"/>
      <c r="G63" s="179">
        <v>10</v>
      </c>
      <c r="H63" s="80"/>
      <c r="I63" s="321">
        <f>VLOOKUP(Table35[[#This Row],[Part Number]],'2023 Pricing Rework'!$B$31:$F$754,5,FALSE)</f>
        <v>80.03</v>
      </c>
      <c r="J63" s="13">
        <f>VLOOKUP(Table35[[#This Row],[Part Number]],'2023 Pricing Rework'!$B$31:$F$754,4,FALSE)</f>
        <v>106.71</v>
      </c>
      <c r="K63" s="13">
        <f>Table35[[#This Row],[Your Price]]*Table35[[#This Row],[Qty]]</f>
        <v>0</v>
      </c>
    </row>
    <row r="64" spans="1:11" ht="14.4" hidden="1" customHeight="1">
      <c r="C64" s="9"/>
      <c r="D64" s="330">
        <v>2810033805</v>
      </c>
      <c r="E64" t="s">
        <v>340</v>
      </c>
      <c r="F64" s="16"/>
      <c r="G64" s="179">
        <v>5</v>
      </c>
      <c r="H64" s="80"/>
      <c r="I64" s="321">
        <f>VLOOKUP(Table35[[#This Row],[Part Number]],'2023 Pricing Rework'!$B$31:$F$754,5,FALSE)</f>
        <v>40.31</v>
      </c>
      <c r="J64" s="13">
        <f>VLOOKUP(Table35[[#This Row],[Part Number]],'2023 Pricing Rework'!$B$31:$F$754,4,FALSE)</f>
        <v>53.75</v>
      </c>
      <c r="K64" s="13">
        <f>Table35[[#This Row],[Your Price]]*Table35[[#This Row],[Qty]]</f>
        <v>0</v>
      </c>
    </row>
    <row r="65" spans="3:11" ht="14.4" customHeight="1">
      <c r="C65" s="9"/>
      <c r="D65" s="330">
        <v>2810033810</v>
      </c>
      <c r="E65" t="s">
        <v>340</v>
      </c>
      <c r="F65" s="16"/>
      <c r="G65" s="180">
        <v>10</v>
      </c>
      <c r="H65" s="80"/>
      <c r="I65" s="321">
        <f>VLOOKUP(Table35[[#This Row],[Part Number]],'2023 Pricing Rework'!$B$31:$F$754,5,FALSE)</f>
        <v>107.24</v>
      </c>
      <c r="J65" s="13">
        <f>VLOOKUP(Table35[[#This Row],[Part Number]],'2023 Pricing Rework'!$B$31:$F$754,4,FALSE)</f>
        <v>142.99</v>
      </c>
      <c r="K65" s="13">
        <f>Table35[[#This Row],[Your Price]]*Table35[[#This Row],[Qty]]</f>
        <v>0</v>
      </c>
    </row>
    <row r="66" spans="3:11" ht="14" customHeight="1">
      <c r="C66" s="9"/>
      <c r="D66" s="330"/>
      <c r="F66" s="16"/>
      <c r="I66" s="13"/>
      <c r="J66" s="13"/>
      <c r="K66" s="13"/>
    </row>
    <row r="67" spans="3:11" ht="14" customHeight="1">
      <c r="C67" s="9"/>
      <c r="D67" s="330"/>
      <c r="F67" s="16"/>
      <c r="I67" s="110"/>
      <c r="J67" s="12"/>
      <c r="K67" s="12"/>
    </row>
    <row r="68" spans="3:11" ht="14" customHeight="1">
      <c r="C68" s="9"/>
      <c r="D68" s="330"/>
      <c r="F68" s="16"/>
      <c r="I68" s="110"/>
      <c r="J68" s="12"/>
      <c r="K68" s="12"/>
    </row>
    <row r="69" spans="3:11" ht="14" customHeight="1">
      <c r="C69" s="9"/>
      <c r="D69" s="330"/>
      <c r="F69" s="16"/>
      <c r="I69" s="13"/>
      <c r="J69" s="13"/>
      <c r="K69" s="13"/>
    </row>
    <row r="70" spans="3:11" ht="14.4" customHeight="1">
      <c r="C70" s="5" t="s">
        <v>213</v>
      </c>
      <c r="D70" s="330"/>
      <c r="E70" s="1" t="s">
        <v>48</v>
      </c>
      <c r="F70" s="16"/>
      <c r="I70" s="13"/>
      <c r="J70" s="13"/>
      <c r="K70" s="13"/>
    </row>
    <row r="71" spans="3:11" ht="14.4" hidden="1" customHeight="1">
      <c r="C71" s="9" t="s">
        <v>215</v>
      </c>
      <c r="D71" s="330">
        <v>2810043805</v>
      </c>
      <c r="E71" t="s">
        <v>218</v>
      </c>
      <c r="F71" s="16"/>
      <c r="G71" s="179">
        <v>5</v>
      </c>
      <c r="H71" s="80"/>
      <c r="I71" s="321">
        <f>VLOOKUP(Table35[[#This Row],[Part Number]],'2023 Pricing Rework'!$B$31:$F$754,5,FALSE)</f>
        <v>30.11</v>
      </c>
      <c r="J71" s="13">
        <f>VLOOKUP(Table35[[#This Row],[Part Number]],'2023 Pricing Rework'!$B$31:$F$754,4,FALSE)</f>
        <v>40.15</v>
      </c>
      <c r="K71" s="13">
        <f>Table35[[#This Row],[Your Price]]*Table35[[#This Row],[Qty]]</f>
        <v>0</v>
      </c>
    </row>
    <row r="72" spans="3:11" ht="14.4" customHeight="1">
      <c r="C72" s="9" t="s">
        <v>215</v>
      </c>
      <c r="D72" s="330">
        <v>2810043810</v>
      </c>
      <c r="E72" t="s">
        <v>218</v>
      </c>
      <c r="F72" s="16"/>
      <c r="G72" s="179">
        <v>10</v>
      </c>
      <c r="H72" s="80"/>
      <c r="I72" s="321">
        <f>VLOOKUP(Table35[[#This Row],[Part Number]],'2023 Pricing Rework'!$B$31:$F$754,5,FALSE)</f>
        <v>80.05</v>
      </c>
      <c r="J72" s="13">
        <f>VLOOKUP(Table35[[#This Row],[Part Number]],'2023 Pricing Rework'!$B$31:$F$754,4,FALSE)</f>
        <v>106.73</v>
      </c>
      <c r="K72" s="13">
        <f>Table35[[#This Row],[Your Price]]*Table35[[#This Row],[Qty]]</f>
        <v>0</v>
      </c>
    </row>
    <row r="73" spans="3:11" ht="14.4" hidden="1" customHeight="1">
      <c r="C73" s="9"/>
      <c r="D73" s="330">
        <v>2810053805</v>
      </c>
      <c r="E73" t="s">
        <v>340</v>
      </c>
      <c r="F73" s="16"/>
      <c r="G73" s="179">
        <v>5</v>
      </c>
      <c r="H73" s="80"/>
      <c r="I73" s="321">
        <f>VLOOKUP(Table35[[#This Row],[Part Number]],'2023 Pricing Rework'!$B$31:$F$754,5,FALSE)</f>
        <v>57.59</v>
      </c>
      <c r="J73" s="13">
        <f>VLOOKUP(Table35[[#This Row],[Part Number]],'2023 Pricing Rework'!$B$31:$F$754,4,FALSE)</f>
        <v>76.78</v>
      </c>
      <c r="K73" s="13">
        <f>Table35[[#This Row],[Your Price]]*Table35[[#This Row],[Qty]]</f>
        <v>0</v>
      </c>
    </row>
    <row r="74" spans="3:11" ht="14.4" customHeight="1">
      <c r="C74" s="9"/>
      <c r="D74" s="330">
        <v>2810053810</v>
      </c>
      <c r="E74" t="s">
        <v>340</v>
      </c>
      <c r="F74" s="16"/>
      <c r="G74" s="179">
        <v>10</v>
      </c>
      <c r="H74" s="80"/>
      <c r="I74" s="321">
        <f>VLOOKUP(Table35[[#This Row],[Part Number]],'2023 Pricing Rework'!$B$31:$F$754,5,FALSE)</f>
        <v>119.24</v>
      </c>
      <c r="J74" s="13">
        <f>VLOOKUP(Table35[[#This Row],[Part Number]],'2023 Pricing Rework'!$B$31:$F$754,4,FALSE)</f>
        <v>158.99</v>
      </c>
      <c r="K74" s="13">
        <f>Table35[[#This Row],[Your Price]]*Table35[[#This Row],[Qty]]</f>
        <v>0</v>
      </c>
    </row>
    <row r="75" spans="3:11" ht="14" customHeight="1">
      <c r="C75" s="9"/>
      <c r="D75" s="330"/>
      <c r="F75" s="16"/>
      <c r="G75" s="181"/>
      <c r="I75" s="12"/>
      <c r="J75" s="12"/>
      <c r="K75" s="12"/>
    </row>
    <row r="76" spans="3:11" ht="14" customHeight="1">
      <c r="C76" s="9"/>
      <c r="D76" s="330"/>
      <c r="F76" s="16"/>
      <c r="I76" s="110"/>
      <c r="J76" s="12"/>
      <c r="K76" s="12"/>
    </row>
    <row r="77" spans="3:11" ht="14" customHeight="1">
      <c r="C77" s="9"/>
      <c r="D77" s="330"/>
      <c r="F77" s="16"/>
      <c r="I77" s="110"/>
      <c r="J77" s="12"/>
      <c r="K77" s="12"/>
    </row>
    <row r="78" spans="3:11" ht="14.4" customHeight="1">
      <c r="C78" s="9"/>
      <c r="D78" s="330"/>
      <c r="F78" s="16"/>
      <c r="I78" s="12"/>
      <c r="J78" s="12"/>
      <c r="K78" s="12"/>
    </row>
    <row r="79" spans="3:11" ht="14.4" customHeight="1">
      <c r="C79" s="5" t="s">
        <v>216</v>
      </c>
      <c r="D79" s="330"/>
      <c r="E79" s="1" t="s">
        <v>48</v>
      </c>
      <c r="F79" s="16"/>
      <c r="I79" s="12"/>
      <c r="J79" s="12"/>
      <c r="K79" s="12"/>
    </row>
    <row r="80" spans="3:11" ht="14.4" hidden="1" customHeight="1">
      <c r="C80" s="10" t="s">
        <v>217</v>
      </c>
      <c r="D80" s="330">
        <v>2810063805</v>
      </c>
      <c r="E80" t="s">
        <v>218</v>
      </c>
      <c r="F80" s="16"/>
      <c r="G80" s="179">
        <v>5</v>
      </c>
      <c r="H80" s="80"/>
      <c r="I80" s="321">
        <f>VLOOKUP(Table35[[#This Row],[Part Number]],'2023 Pricing Rework'!$B$31:$F$754,5,FALSE)</f>
        <v>30.11</v>
      </c>
      <c r="J80" s="13">
        <f>VLOOKUP(Table35[[#This Row],[Part Number]],'2023 Pricing Rework'!$B$31:$F$754,4,FALSE)</f>
        <v>40.15</v>
      </c>
      <c r="K80" s="13">
        <f>Table35[[#This Row],[Your Price]]*Table35[[#This Row],[Qty]]</f>
        <v>0</v>
      </c>
    </row>
    <row r="81" spans="3:11" ht="14.4" customHeight="1">
      <c r="C81" s="328" t="s">
        <v>217</v>
      </c>
      <c r="D81" s="330">
        <v>2810063810</v>
      </c>
      <c r="E81" t="s">
        <v>218</v>
      </c>
      <c r="F81" s="16"/>
      <c r="G81" s="179">
        <v>10</v>
      </c>
      <c r="H81" s="80"/>
      <c r="I81" s="321">
        <f>VLOOKUP(Table35[[#This Row],[Part Number]],'2023 Pricing Rework'!$B$31:$F$754,5,FALSE)</f>
        <v>84.87</v>
      </c>
      <c r="J81" s="13">
        <f>VLOOKUP(Table35[[#This Row],[Part Number]],'2023 Pricing Rework'!$B$31:$F$754,4,FALSE)</f>
        <v>113.16</v>
      </c>
      <c r="K81" s="13">
        <f>Table35[[#This Row],[Your Price]]*Table35[[#This Row],[Qty]]</f>
        <v>0</v>
      </c>
    </row>
    <row r="82" spans="3:11" ht="14.4" hidden="1" customHeight="1">
      <c r="C82" s="328"/>
      <c r="D82" s="330">
        <v>2810073805</v>
      </c>
      <c r="E82" t="s">
        <v>340</v>
      </c>
      <c r="F82" s="16"/>
      <c r="G82" s="179">
        <v>5</v>
      </c>
      <c r="H82" s="80"/>
      <c r="I82" s="321">
        <f>VLOOKUP(Table35[[#This Row],[Part Number]],'2023 Pricing Rework'!$B$31:$F$754,5,FALSE)</f>
        <v>45.72</v>
      </c>
      <c r="J82" s="13">
        <f>VLOOKUP(Table35[[#This Row],[Part Number]],'2023 Pricing Rework'!$B$31:$F$754,4,FALSE)</f>
        <v>60.96</v>
      </c>
      <c r="K82" s="13">
        <f>Table35[[#This Row],[Your Price]]*Table35[[#This Row],[Qty]]</f>
        <v>0</v>
      </c>
    </row>
    <row r="83" spans="3:11" ht="14.4" customHeight="1">
      <c r="D83" s="330">
        <v>2810073810</v>
      </c>
      <c r="E83" t="s">
        <v>340</v>
      </c>
      <c r="F83" s="16"/>
      <c r="G83" s="179">
        <v>10</v>
      </c>
      <c r="H83" s="80"/>
      <c r="I83" s="321">
        <f>VLOOKUP(Table35[[#This Row],[Part Number]],'2023 Pricing Rework'!$B$31:$F$754,5,FALSE)</f>
        <v>108.86</v>
      </c>
      <c r="J83" s="13">
        <f>VLOOKUP(Table35[[#This Row],[Part Number]],'2023 Pricing Rework'!$B$31:$F$754,4,FALSE)</f>
        <v>145.13999999999999</v>
      </c>
      <c r="K83" s="13">
        <f>Table35[[#This Row],[Your Price]]*Table35[[#This Row],[Qty]]</f>
        <v>0</v>
      </c>
    </row>
    <row r="84" spans="3:11" ht="14" customHeight="1">
      <c r="D84" s="330"/>
      <c r="F84" s="16"/>
      <c r="G84" s="181"/>
      <c r="I84" s="12"/>
      <c r="J84" s="12"/>
      <c r="K84" s="12"/>
    </row>
    <row r="85" spans="3:11" ht="14" customHeight="1">
      <c r="D85" s="330"/>
      <c r="F85" s="16"/>
      <c r="I85" s="110"/>
      <c r="J85" s="12"/>
      <c r="K85" s="12"/>
    </row>
    <row r="86" spans="3:11" ht="14" customHeight="1">
      <c r="D86" s="330"/>
      <c r="F86" s="16"/>
      <c r="I86" s="110"/>
      <c r="J86" s="12"/>
      <c r="K86" s="12"/>
    </row>
    <row r="87" spans="3:11" ht="14.5">
      <c r="D87" s="330"/>
      <c r="F87" s="16"/>
      <c r="I87" s="110"/>
      <c r="J87" s="110"/>
      <c r="K87" s="12"/>
    </row>
    <row r="88" spans="3:11" ht="14.4" customHeight="1">
      <c r="D88" s="330"/>
      <c r="F88" s="16"/>
      <c r="I88" s="12"/>
      <c r="J88" s="12"/>
      <c r="K88" s="12"/>
    </row>
    <row r="89" spans="3:11" ht="14.4" customHeight="1">
      <c r="I89" s="35"/>
      <c r="J89" s="35"/>
      <c r="K89" s="35"/>
    </row>
    <row r="90" spans="3:11" ht="14.4" customHeight="1">
      <c r="I90" s="35"/>
      <c r="J90" s="35"/>
      <c r="K90" s="35"/>
    </row>
    <row r="91" spans="3:11" ht="14.4" customHeight="1">
      <c r="I91" s="35"/>
      <c r="J91" s="35"/>
      <c r="K91" s="35"/>
    </row>
    <row r="92" spans="3:11" ht="14.4" customHeight="1">
      <c r="I92" s="35"/>
      <c r="J92" s="35"/>
      <c r="K92" s="35"/>
    </row>
    <row r="93" spans="3:11" ht="14.4" customHeight="1">
      <c r="I93" s="35"/>
      <c r="J93" s="35"/>
      <c r="K93" s="35"/>
    </row>
    <row r="94" spans="3:11" ht="14.4" customHeight="1">
      <c r="I94" s="35"/>
      <c r="J94" s="35"/>
      <c r="K94" s="35"/>
    </row>
    <row r="95" spans="3:11" ht="14.4" customHeight="1">
      <c r="I95" s="35"/>
      <c r="J95" s="35"/>
      <c r="K95" s="35"/>
    </row>
    <row r="96" spans="3:11" ht="14.4" customHeight="1">
      <c r="I96" s="35"/>
      <c r="J96" s="35"/>
      <c r="K96" s="35"/>
    </row>
    <row r="97" spans="9:11" ht="14.4" customHeight="1">
      <c r="I97" s="35"/>
      <c r="J97" s="35"/>
      <c r="K97" s="35"/>
    </row>
    <row r="98" spans="9:11" ht="14.4" customHeight="1">
      <c r="I98" s="35"/>
      <c r="J98" s="35"/>
      <c r="K98" s="35"/>
    </row>
    <row r="99" spans="9:11" ht="14.4" customHeight="1">
      <c r="I99" s="35"/>
      <c r="J99" s="35"/>
      <c r="K99" s="35"/>
    </row>
    <row r="100" spans="9:11" ht="14.4" customHeight="1">
      <c r="I100" s="35"/>
      <c r="J100" s="35"/>
      <c r="K100" s="35"/>
    </row>
    <row r="101" spans="9:11" ht="14.4" customHeight="1">
      <c r="I101" s="35"/>
      <c r="J101" s="35"/>
      <c r="K101" s="35"/>
    </row>
    <row r="102" spans="9:11" ht="14.4" customHeight="1">
      <c r="I102" s="35"/>
      <c r="J102" s="35"/>
      <c r="K102" s="35"/>
    </row>
    <row r="103" spans="9:11" ht="14.4" customHeight="1">
      <c r="I103" s="35"/>
      <c r="J103" s="35"/>
      <c r="K103" s="35"/>
    </row>
    <row r="104" spans="9:11" ht="14.4" customHeight="1">
      <c r="I104" s="35"/>
      <c r="J104" s="35"/>
      <c r="K104" s="35"/>
    </row>
    <row r="105" spans="9:11" ht="14.4" customHeight="1">
      <c r="I105" s="35"/>
      <c r="J105" s="35"/>
      <c r="K105" s="35"/>
    </row>
    <row r="106" spans="9:11" ht="14.4" customHeight="1">
      <c r="I106" s="35"/>
      <c r="J106" s="35"/>
      <c r="K106" s="35"/>
    </row>
    <row r="107" spans="9:11" ht="14.4" customHeight="1">
      <c r="I107" s="35"/>
      <c r="J107" s="35"/>
      <c r="K107" s="35"/>
    </row>
    <row r="108" spans="9:11" ht="14.4" customHeight="1">
      <c r="I108" s="35"/>
      <c r="J108" s="35"/>
      <c r="K108" s="35"/>
    </row>
    <row r="109" spans="9:11" ht="14.4" customHeight="1">
      <c r="I109" s="35"/>
      <c r="J109" s="35"/>
      <c r="K109" s="35"/>
    </row>
    <row r="110" spans="9:11" ht="14.4" customHeight="1">
      <c r="I110" s="35"/>
      <c r="J110" s="35"/>
      <c r="K110" s="35"/>
    </row>
    <row r="111" spans="9:11" ht="14.4" customHeight="1">
      <c r="I111" s="35"/>
      <c r="J111" s="35"/>
      <c r="K111" s="35"/>
    </row>
    <row r="112" spans="9:11" ht="14.4" customHeight="1">
      <c r="I112" s="35"/>
      <c r="J112" s="35"/>
      <c r="K112" s="35"/>
    </row>
    <row r="113" spans="9:11" ht="14.4" customHeight="1">
      <c r="I113" s="35"/>
      <c r="J113" s="35"/>
      <c r="K113" s="35"/>
    </row>
    <row r="114" spans="9:11" ht="14.4" customHeight="1">
      <c r="I114" s="35"/>
      <c r="J114" s="35"/>
      <c r="K114" s="35"/>
    </row>
    <row r="115" spans="9:11" ht="14.4" customHeight="1">
      <c r="I115" s="35"/>
      <c r="J115" s="35"/>
      <c r="K115" s="35"/>
    </row>
    <row r="116" spans="9:11" ht="14.4" customHeight="1">
      <c r="I116" s="35"/>
      <c r="J116" s="35"/>
      <c r="K116" s="35"/>
    </row>
    <row r="117" spans="9:11" ht="14.4" customHeight="1">
      <c r="I117" s="35"/>
      <c r="J117" s="35"/>
      <c r="K117" s="35"/>
    </row>
    <row r="118" spans="9:11" ht="14.4" customHeight="1">
      <c r="I118" s="35"/>
      <c r="J118" s="35"/>
      <c r="K118" s="35"/>
    </row>
    <row r="119" spans="9:11" ht="14.4" customHeight="1">
      <c r="I119" s="35"/>
      <c r="J119" s="35"/>
      <c r="K119" s="35"/>
    </row>
    <row r="120" spans="9:11" ht="14.4" customHeight="1">
      <c r="I120" s="35"/>
      <c r="J120" s="35"/>
      <c r="K120" s="35"/>
    </row>
    <row r="121" spans="9:11" ht="14.4" customHeight="1">
      <c r="I121" s="35"/>
      <c r="J121" s="35"/>
      <c r="K121" s="35"/>
    </row>
    <row r="122" spans="9:11" ht="14.4" customHeight="1">
      <c r="I122" s="35"/>
      <c r="J122" s="35"/>
      <c r="K122" s="35"/>
    </row>
    <row r="123" spans="9:11" ht="14.4" customHeight="1">
      <c r="I123" s="35"/>
      <c r="J123" s="35"/>
      <c r="K123" s="35"/>
    </row>
    <row r="124" spans="9:11" ht="14.4" customHeight="1">
      <c r="I124" s="35"/>
      <c r="J124" s="35"/>
      <c r="K124" s="35"/>
    </row>
    <row r="125" spans="9:11" ht="14.4" customHeight="1">
      <c r="I125" s="35"/>
      <c r="J125" s="35"/>
      <c r="K125" s="35"/>
    </row>
    <row r="126" spans="9:11" ht="14.4" customHeight="1">
      <c r="I126" s="35"/>
      <c r="J126" s="35"/>
      <c r="K126" s="35"/>
    </row>
    <row r="127" spans="9:11" ht="14.4" customHeight="1">
      <c r="I127" s="35"/>
      <c r="J127" s="35"/>
      <c r="K127" s="35"/>
    </row>
    <row r="128" spans="9:11" ht="14.4" customHeight="1">
      <c r="I128" s="35"/>
      <c r="J128" s="35"/>
      <c r="K128" s="35"/>
    </row>
    <row r="129" spans="9:11" ht="14.4" customHeight="1">
      <c r="I129" s="35"/>
      <c r="J129" s="35"/>
      <c r="K129" s="35"/>
    </row>
    <row r="130" spans="9:11" ht="14.4" customHeight="1">
      <c r="I130" s="35"/>
      <c r="J130" s="35"/>
      <c r="K130" s="35"/>
    </row>
    <row r="131" spans="9:11" ht="14.4" customHeight="1">
      <c r="I131" s="35"/>
      <c r="J131" s="35"/>
      <c r="K131" s="35"/>
    </row>
    <row r="132" spans="9:11" ht="14.4" customHeight="1">
      <c r="I132" s="35"/>
      <c r="J132" s="35"/>
      <c r="K132" s="35"/>
    </row>
    <row r="133" spans="9:11" ht="14.4" customHeight="1">
      <c r="I133" s="35"/>
      <c r="J133" s="35"/>
      <c r="K133" s="35"/>
    </row>
    <row r="134" spans="9:11" ht="14.4" customHeight="1">
      <c r="I134" s="35"/>
      <c r="J134" s="35"/>
      <c r="K134" s="35"/>
    </row>
    <row r="135" spans="9:11" ht="14.4" customHeight="1">
      <c r="I135" s="35"/>
      <c r="J135" s="35"/>
      <c r="K135" s="35"/>
    </row>
    <row r="136" spans="9:11" ht="14.4" customHeight="1">
      <c r="I136" s="35"/>
      <c r="J136" s="35"/>
      <c r="K136" s="35"/>
    </row>
    <row r="137" spans="9:11" ht="14.4" customHeight="1">
      <c r="I137" s="35"/>
      <c r="J137" s="35"/>
      <c r="K137" s="35"/>
    </row>
    <row r="138" spans="9:11" ht="14.4" customHeight="1">
      <c r="I138" s="35"/>
      <c r="J138" s="35"/>
      <c r="K138" s="35"/>
    </row>
    <row r="139" spans="9:11" ht="14.4" customHeight="1">
      <c r="I139" s="35"/>
      <c r="J139" s="35"/>
      <c r="K139" s="35"/>
    </row>
    <row r="140" spans="9:11" ht="14.4" customHeight="1">
      <c r="I140" s="35"/>
      <c r="J140" s="35"/>
      <c r="K140" s="35"/>
    </row>
    <row r="141" spans="9:11" ht="14.4" customHeight="1">
      <c r="I141" s="35"/>
      <c r="J141" s="35"/>
      <c r="K141" s="35"/>
    </row>
    <row r="142" spans="9:11" ht="14.4" customHeight="1">
      <c r="I142" s="35"/>
      <c r="J142" s="35"/>
      <c r="K142" s="35"/>
    </row>
    <row r="143" spans="9:11" ht="14.4" customHeight="1">
      <c r="I143" s="35"/>
      <c r="J143" s="35"/>
      <c r="K143" s="35"/>
    </row>
    <row r="144" spans="9:11" ht="14.4" customHeight="1">
      <c r="I144" s="35"/>
      <c r="J144" s="35"/>
      <c r="K144" s="35"/>
    </row>
    <row r="145" spans="9:11" ht="14.4" customHeight="1">
      <c r="I145" s="35"/>
      <c r="J145" s="35"/>
      <c r="K145" s="35"/>
    </row>
    <row r="146" spans="9:11" ht="14.4" customHeight="1">
      <c r="I146" s="35"/>
      <c r="J146" s="35"/>
      <c r="K146" s="35"/>
    </row>
    <row r="147" spans="9:11" ht="14.4" customHeight="1">
      <c r="I147" s="35"/>
      <c r="J147" s="35"/>
      <c r="K147" s="35"/>
    </row>
    <row r="148" spans="9:11" ht="14.4" customHeight="1">
      <c r="I148" s="35"/>
      <c r="J148" s="35"/>
      <c r="K148" s="35"/>
    </row>
    <row r="149" spans="9:11" ht="14.4" customHeight="1">
      <c r="I149" s="35"/>
      <c r="J149" s="35"/>
      <c r="K149" s="35"/>
    </row>
    <row r="150" spans="9:11" ht="14.4" customHeight="1">
      <c r="I150" s="35"/>
      <c r="J150" s="35"/>
      <c r="K150" s="35"/>
    </row>
    <row r="151" spans="9:11" ht="14.4" customHeight="1">
      <c r="I151" s="35"/>
      <c r="J151" s="35"/>
      <c r="K151" s="35"/>
    </row>
    <row r="152" spans="9:11" ht="14.4" customHeight="1">
      <c r="I152" s="35"/>
      <c r="J152" s="35"/>
      <c r="K152" s="35"/>
    </row>
  </sheetData>
  <sheetProtection algorithmName="SHA-512" hashValue="ns7lB3bAQGCAsWQ9Xfg+plrGX0OjgRo7tOWb1RQprelhCwtI10V2ZloS86KV0mOlqU9TDHD95nnMyuirywmB6Q==" saltValue="XnUcexEOYkjLReTcezFBmg==" spinCount="100000" sheet="1" objects="1" scenarios="1" selectLockedCells="1"/>
  <mergeCells count="2">
    <mergeCell ref="C45:C46"/>
    <mergeCell ref="D1:G1"/>
  </mergeCells>
  <pageMargins left="0.7" right="0.7" top="0.75" bottom="0.75" header="0.3" footer="0.3"/>
  <pageSetup orientation="portrait" r:id="rId1"/>
  <ignoredErrors>
    <ignoredError sqref="K78:K83 K4:K11 K13:K16 K18:K52 K54:K66 K69:K75" calculatedColumn="1"/>
  </ignoredErrors>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5"/>
  </sheetPr>
  <dimension ref="A1:J70"/>
  <sheetViews>
    <sheetView showGridLines="0" showRowColHeader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8.90625" defaultRowHeight="14.4" customHeight="1" zeroHeight="1"/>
  <cols>
    <col min="1" max="1" width="0.90625" customWidth="1"/>
    <col min="2" max="2" width="25.81640625" style="1" customWidth="1"/>
    <col min="3" max="3" width="25.81640625" style="42" customWidth="1"/>
    <col min="4" max="4" width="14.81640625" style="2" customWidth="1"/>
    <col min="5" max="5" width="28.7265625" customWidth="1"/>
    <col min="6" max="6" width="40.36328125" customWidth="1"/>
    <col min="7" max="7" width="9.81640625" style="2" customWidth="1"/>
    <col min="8" max="8" width="11.81640625" style="7" customWidth="1"/>
    <col min="9" max="9" width="11.81640625" style="8" customWidth="1"/>
    <col min="10" max="10" width="13.81640625" style="8" customWidth="1"/>
  </cols>
  <sheetData>
    <row r="1" spans="1:10" ht="54" customHeight="1">
      <c r="A1" s="133"/>
      <c r="B1" s="136"/>
      <c r="C1" s="138"/>
      <c r="D1" s="368" t="s">
        <v>66</v>
      </c>
      <c r="E1" s="368"/>
      <c r="F1" s="368"/>
      <c r="G1" s="368"/>
      <c r="H1" s="22" t="s">
        <v>283</v>
      </c>
    </row>
    <row r="2" spans="1:10" ht="18.5" customHeight="1">
      <c r="A2" s="61"/>
      <c r="B2" s="3"/>
      <c r="C2" s="43" t="s">
        <v>14</v>
      </c>
      <c r="D2" s="4" t="s">
        <v>304</v>
      </c>
      <c r="E2" s="4" t="s">
        <v>349</v>
      </c>
      <c r="F2" s="129" t="s">
        <v>89</v>
      </c>
      <c r="G2" s="4" t="s">
        <v>53</v>
      </c>
      <c r="H2" s="26" t="s">
        <v>207</v>
      </c>
      <c r="I2" s="338" t="s">
        <v>1824</v>
      </c>
      <c r="J2" s="20" t="s">
        <v>266</v>
      </c>
    </row>
    <row r="3" spans="1:10" ht="18.5" customHeight="1">
      <c r="A3" s="62"/>
      <c r="B3" s="5" t="s">
        <v>66</v>
      </c>
      <c r="C3" s="183" t="s">
        <v>409</v>
      </c>
      <c r="F3" s="16"/>
      <c r="I3" s="13"/>
      <c r="J3" s="13"/>
    </row>
    <row r="4" spans="1:10" ht="18.5" customHeight="1">
      <c r="A4" s="62"/>
      <c r="B4" s="9"/>
      <c r="C4" s="10"/>
      <c r="D4" s="330">
        <v>2811022990</v>
      </c>
      <c r="F4" s="16" t="s">
        <v>360</v>
      </c>
      <c r="G4" s="2">
        <v>1</v>
      </c>
      <c r="H4" s="80"/>
      <c r="I4" s="337">
        <f>VLOOKUP(Table3514[[#This Row],[Part Number]],'2023 Pricing Rework'!$B$9:$F$754,5,FALSE)</f>
        <v>6.68</v>
      </c>
      <c r="J4" s="13">
        <f>Table3514[[#This Row],[Your Price]]*Table3514[[#This Row],[Qty]]</f>
        <v>0</v>
      </c>
    </row>
    <row r="5" spans="1:10" ht="18.5" customHeight="1">
      <c r="A5" s="62"/>
      <c r="B5" s="9"/>
      <c r="C5" s="10"/>
      <c r="D5" s="330"/>
      <c r="F5" s="16" t="s">
        <v>1833</v>
      </c>
      <c r="I5" s="12"/>
      <c r="J5" s="13"/>
    </row>
    <row r="6" spans="1:10" ht="18.5" customHeight="1">
      <c r="A6" s="62"/>
      <c r="B6" s="9"/>
      <c r="C6" s="10"/>
      <c r="F6" s="16"/>
      <c r="I6" s="110"/>
      <c r="J6" s="13"/>
    </row>
    <row r="7" spans="1:10" ht="18.5" customHeight="1">
      <c r="A7" s="62"/>
      <c r="B7" s="9"/>
      <c r="C7" s="10"/>
      <c r="D7" s="330"/>
      <c r="F7" s="16"/>
      <c r="I7" s="12"/>
      <c r="J7" s="13"/>
    </row>
    <row r="8" spans="1:10" ht="18.5" customHeight="1">
      <c r="A8" s="62"/>
      <c r="B8" s="9"/>
      <c r="C8" s="6" t="s">
        <v>69</v>
      </c>
      <c r="D8" s="330"/>
      <c r="F8" s="16"/>
      <c r="I8" s="12"/>
      <c r="J8" s="13"/>
    </row>
    <row r="9" spans="1:10" ht="18.5" customHeight="1">
      <c r="B9" s="9"/>
      <c r="C9" s="10"/>
      <c r="D9" s="330">
        <v>2810014100</v>
      </c>
      <c r="E9" t="s">
        <v>68</v>
      </c>
      <c r="F9" s="16" t="s">
        <v>1749</v>
      </c>
      <c r="G9" s="2">
        <v>1</v>
      </c>
      <c r="H9" s="81"/>
      <c r="I9" s="337">
        <f>VLOOKUP(Table3514[[#This Row],[Part Number]],'2023 Pricing Rework'!$B$9:$F$754,5,FALSE)</f>
        <v>149.49</v>
      </c>
      <c r="J9" s="13">
        <f>Table3514[[#This Row],[Your Price]]*Table3514[[#This Row],[Qty]]</f>
        <v>0</v>
      </c>
    </row>
    <row r="10" spans="1:10" ht="18.5" customHeight="1">
      <c r="B10" s="9"/>
      <c r="D10" s="330">
        <v>2810084100</v>
      </c>
      <c r="E10" t="s">
        <v>1113</v>
      </c>
      <c r="F10" s="16" t="s">
        <v>1114</v>
      </c>
      <c r="G10" s="2">
        <v>1</v>
      </c>
      <c r="H10" s="81"/>
      <c r="I10" s="337">
        <f>VLOOKUP(Table3514[[#This Row],[Part Number]],'2023 Pricing Rework'!$B$9:$F$754,5,FALSE)</f>
        <v>709.83</v>
      </c>
      <c r="J10" s="13">
        <f>Table3514[[#This Row],[Your Price]]*Table3514[[#This Row],[Qty]]</f>
        <v>0</v>
      </c>
    </row>
    <row r="11" spans="1:10" ht="18.5" customHeight="1">
      <c r="B11" s="9"/>
      <c r="D11" s="330"/>
      <c r="F11" s="16"/>
      <c r="I11" s="12"/>
      <c r="J11" s="13"/>
    </row>
    <row r="12" spans="1:10" ht="18.5" customHeight="1">
      <c r="B12" s="9"/>
      <c r="D12" s="330"/>
      <c r="F12" s="16"/>
      <c r="I12" s="12"/>
      <c r="J12" s="13"/>
    </row>
    <row r="13" spans="1:10" ht="18.5" customHeight="1">
      <c r="B13" s="9"/>
      <c r="C13" s="6" t="s">
        <v>341</v>
      </c>
      <c r="D13" s="330">
        <v>2810004200</v>
      </c>
      <c r="E13" t="s">
        <v>71</v>
      </c>
      <c r="F13" s="16" t="s">
        <v>361</v>
      </c>
      <c r="G13" s="2">
        <v>1</v>
      </c>
      <c r="H13" s="80"/>
      <c r="I13" s="337">
        <f>VLOOKUP(Table3514[[#This Row],[Part Number]],'2023 Pricing Rework'!$B$9:$F$754,5,FALSE)</f>
        <v>25.6</v>
      </c>
      <c r="J13" s="13">
        <f>Table3514[[#This Row],[Your Price]]*Table3514[[#This Row],[Qty]]</f>
        <v>0</v>
      </c>
    </row>
    <row r="14" spans="1:10" ht="18.5" customHeight="1">
      <c r="B14" s="9"/>
      <c r="C14" s="10"/>
      <c r="D14" s="330">
        <v>2810064100</v>
      </c>
      <c r="E14" t="s">
        <v>72</v>
      </c>
      <c r="F14" s="16" t="s">
        <v>1750</v>
      </c>
      <c r="G14" s="2">
        <v>1</v>
      </c>
      <c r="H14" s="80"/>
      <c r="I14" s="337">
        <f>VLOOKUP(Table3514[[#This Row],[Part Number]],'2023 Pricing Rework'!$B$9:$F$754,5,FALSE)</f>
        <v>28.28</v>
      </c>
      <c r="J14" s="13">
        <f>Table3514[[#This Row],[Your Price]]*Table3514[[#This Row],[Qty]]</f>
        <v>0</v>
      </c>
    </row>
    <row r="15" spans="1:10" ht="18.5" customHeight="1">
      <c r="C15" s="10"/>
      <c r="D15" s="330"/>
      <c r="F15" s="16"/>
      <c r="H15" s="111"/>
      <c r="I15" s="12"/>
      <c r="J15" s="12"/>
    </row>
    <row r="16" spans="1:10" ht="18.5" customHeight="1">
      <c r="C16" s="6" t="s">
        <v>76</v>
      </c>
      <c r="D16" s="330"/>
      <c r="F16" s="17" t="s">
        <v>55</v>
      </c>
      <c r="I16" s="12"/>
      <c r="J16" s="13"/>
    </row>
    <row r="17" spans="3:10" ht="18.5" hidden="1" customHeight="1">
      <c r="D17" s="330">
        <v>2810004300</v>
      </c>
      <c r="E17" t="s">
        <v>77</v>
      </c>
      <c r="F17" s="127" t="s">
        <v>80</v>
      </c>
      <c r="G17" s="2">
        <v>1</v>
      </c>
      <c r="H17" s="80"/>
      <c r="I17" s="12" t="e">
        <f>VLOOKUP(D17,#REF!,5,FALSE)</f>
        <v>#REF!</v>
      </c>
      <c r="J17" s="13">
        <v>0</v>
      </c>
    </row>
    <row r="18" spans="3:10" ht="18.5" customHeight="1">
      <c r="D18" s="330">
        <v>2810014300</v>
      </c>
      <c r="E18" t="s">
        <v>78</v>
      </c>
      <c r="F18" s="127" t="s">
        <v>393</v>
      </c>
      <c r="G18" s="2">
        <v>1</v>
      </c>
      <c r="H18" s="80"/>
      <c r="I18" s="337">
        <f>VLOOKUP(Table3514[[#This Row],[Part Number]],'2023 Pricing Rework'!$B$9:$F$754,5,FALSE)</f>
        <v>9.2200000000000006</v>
      </c>
      <c r="J18" s="13">
        <f>Table3514[[#This Row],[Your Price]]*Table3514[[#This Row],[Qty]]</f>
        <v>0</v>
      </c>
    </row>
    <row r="19" spans="3:10" ht="18.5" customHeight="1">
      <c r="D19" s="330">
        <v>2810024300</v>
      </c>
      <c r="E19" t="s">
        <v>79</v>
      </c>
      <c r="F19" s="16" t="s">
        <v>1834</v>
      </c>
      <c r="G19" s="2">
        <v>1</v>
      </c>
      <c r="H19" s="81"/>
      <c r="I19" s="337">
        <f>VLOOKUP(Table3514[[#This Row],[Part Number]],'2023 Pricing Rework'!$B$9:$F$754,5,FALSE)</f>
        <v>6.21</v>
      </c>
      <c r="J19" s="13">
        <f>Table3514[[#This Row],[Your Price]]*Table3514[[#This Row],[Qty]]</f>
        <v>0</v>
      </c>
    </row>
    <row r="20" spans="3:10" ht="18.5" customHeight="1">
      <c r="D20" s="330"/>
      <c r="F20" s="16"/>
      <c r="H20" s="111"/>
      <c r="I20" s="110"/>
      <c r="J20" s="12"/>
    </row>
    <row r="21" spans="3:10" ht="18.5" customHeight="1">
      <c r="D21" s="330"/>
      <c r="F21" s="16"/>
      <c r="H21" s="111"/>
      <c r="I21" s="110"/>
      <c r="J21" s="12"/>
    </row>
    <row r="22" spans="3:10" ht="18.5" customHeight="1">
      <c r="C22" s="6" t="s">
        <v>410</v>
      </c>
      <c r="D22" s="330"/>
      <c r="F22" s="16"/>
      <c r="I22" s="12"/>
      <c r="J22" s="13"/>
    </row>
    <row r="23" spans="3:10" ht="18.5" customHeight="1">
      <c r="D23" s="330">
        <v>2810004400</v>
      </c>
      <c r="E23" t="s">
        <v>81</v>
      </c>
      <c r="F23" s="16"/>
      <c r="G23" s="2">
        <v>1</v>
      </c>
      <c r="H23" s="80"/>
      <c r="I23" s="337">
        <f>VLOOKUP(Table3514[[#This Row],[Part Number]],'2023 Pricing Rework'!$B$9:$F$754,5,FALSE)</f>
        <v>10.71</v>
      </c>
      <c r="J23" s="13">
        <f>Table3514[[#This Row],[Your Price]]*Table3514[[#This Row],[Qty]]</f>
        <v>0</v>
      </c>
    </row>
    <row r="24" spans="3:10" ht="18.5" customHeight="1">
      <c r="D24" s="330"/>
      <c r="F24" s="16"/>
      <c r="I24" s="12"/>
      <c r="J24" s="13"/>
    </row>
    <row r="25" spans="3:10" ht="18.5" customHeight="1">
      <c r="C25" s="6" t="s">
        <v>73</v>
      </c>
      <c r="F25" s="16"/>
      <c r="I25" s="7"/>
      <c r="J25" s="35"/>
    </row>
    <row r="26" spans="3:10" ht="18.5" customHeight="1">
      <c r="D26" s="330">
        <v>2811014900</v>
      </c>
      <c r="F26" s="16"/>
      <c r="G26" s="2">
        <v>1</v>
      </c>
      <c r="H26" s="81"/>
      <c r="I26" s="337">
        <f>VLOOKUP(Table3514[[#This Row],[Part Number]],'2023 Pricing Rework'!$B$9:$F$754,5,FALSE)</f>
        <v>1.54</v>
      </c>
      <c r="J26" s="13">
        <f>Table3514[[#This Row],[Your Price]]*Table3514[[#This Row],[Qty]]</f>
        <v>0</v>
      </c>
    </row>
    <row r="27" spans="3:10" ht="18.5" customHeight="1">
      <c r="F27" s="16"/>
      <c r="I27" s="7"/>
      <c r="J27" s="7"/>
    </row>
    <row r="28" spans="3:10" ht="18.5" customHeight="1">
      <c r="F28" s="16"/>
      <c r="I28" s="7"/>
      <c r="J28" s="7"/>
    </row>
    <row r="29" spans="3:10" ht="18.5" customHeight="1">
      <c r="C29" s="6" t="s">
        <v>74</v>
      </c>
      <c r="D29" s="330"/>
      <c r="F29" s="16"/>
      <c r="I29" s="7"/>
      <c r="J29" s="7"/>
    </row>
    <row r="30" spans="3:10" ht="18.5" customHeight="1">
      <c r="C30"/>
      <c r="D30" s="330">
        <v>2810004000</v>
      </c>
      <c r="E30" t="s">
        <v>302</v>
      </c>
      <c r="F30" s="16"/>
      <c r="G30" s="2">
        <v>1</v>
      </c>
      <c r="H30" s="80"/>
      <c r="I30" s="337">
        <f>VLOOKUP(Table3514[[#This Row],[Part Number]],'2023 Pricing Rework'!$B$9:$F$754,5,FALSE)</f>
        <v>180.31</v>
      </c>
      <c r="J30" s="13">
        <f>Table3514[[#This Row],[Your Price]]*Table3514[[#This Row],[Qty]]</f>
        <v>0</v>
      </c>
    </row>
    <row r="31" spans="3:10" ht="18.5" customHeight="1">
      <c r="D31" s="330">
        <v>2810014000</v>
      </c>
      <c r="E31" t="s">
        <v>300</v>
      </c>
      <c r="F31" s="16"/>
      <c r="G31" s="2">
        <v>1</v>
      </c>
      <c r="H31" s="80"/>
      <c r="I31" s="337">
        <f>VLOOKUP(Table3514[[#This Row],[Part Number]],'2023 Pricing Rework'!$B$9:$F$754,5,FALSE)</f>
        <v>207.78</v>
      </c>
      <c r="J31" s="13">
        <f>Table3514[[#This Row],[Your Price]]*Table3514[[#This Row],[Qty]]</f>
        <v>0</v>
      </c>
    </row>
    <row r="32" spans="3:10" ht="18.5" customHeight="1">
      <c r="D32" s="330">
        <v>2810024000</v>
      </c>
      <c r="E32" t="s">
        <v>301</v>
      </c>
      <c r="F32" s="16"/>
      <c r="G32" s="2">
        <v>1</v>
      </c>
      <c r="H32" s="80"/>
      <c r="I32" s="337">
        <f>VLOOKUP(Table3514[[#This Row],[Part Number]],'2023 Pricing Rework'!$B$9:$F$754,5,FALSE)</f>
        <v>314.42</v>
      </c>
      <c r="J32" s="13">
        <f>Table3514[[#This Row],[Your Price]]*Table3514[[#This Row],[Qty]]</f>
        <v>0</v>
      </c>
    </row>
    <row r="33" spans="3:10" ht="18.5" customHeight="1">
      <c r="D33" s="330">
        <v>2810064080</v>
      </c>
      <c r="E33" t="s">
        <v>75</v>
      </c>
      <c r="F33" s="16" t="s">
        <v>303</v>
      </c>
      <c r="G33" s="2">
        <v>1</v>
      </c>
      <c r="H33" s="80"/>
      <c r="I33" s="337">
        <f>VLOOKUP(Table3514[[#This Row],[Part Number]],'2023 Pricing Rework'!$B$9:$F$754,5,FALSE)</f>
        <v>1070.6300000000001</v>
      </c>
      <c r="J33" s="13">
        <f>Table3514[[#This Row],[Your Price]]*Table3514[[#This Row],[Qty]]</f>
        <v>0</v>
      </c>
    </row>
    <row r="34" spans="3:10" ht="18.5" customHeight="1">
      <c r="D34" s="330"/>
      <c r="F34" s="16"/>
      <c r="I34" s="12"/>
      <c r="J34" s="13"/>
    </row>
    <row r="35" spans="3:10" ht="18.5" customHeight="1">
      <c r="C35" s="6" t="s">
        <v>408</v>
      </c>
      <c r="D35" s="330"/>
      <c r="F35" s="16"/>
      <c r="I35" s="12"/>
      <c r="J35" s="13"/>
    </row>
    <row r="36" spans="3:10" ht="18.5" customHeight="1">
      <c r="C36" s="10"/>
      <c r="D36" s="330">
        <v>2810014800</v>
      </c>
      <c r="F36" s="16" t="s">
        <v>280</v>
      </c>
      <c r="G36" s="2">
        <v>1</v>
      </c>
      <c r="H36" s="80"/>
      <c r="I36" s="337">
        <f>VLOOKUP(Table3514[[#This Row],[Part Number]],'2023 Pricing Rework'!$B$9:$F$754,5,FALSE)</f>
        <v>14.74</v>
      </c>
      <c r="J36" s="13">
        <f>Table3514[[#This Row],[Your Price]]*Table3514[[#This Row],[Qty]]</f>
        <v>0</v>
      </c>
    </row>
    <row r="37" spans="3:10" ht="18.5" hidden="1" customHeight="1">
      <c r="C37" s="10"/>
      <c r="D37" s="330">
        <v>1312100945</v>
      </c>
      <c r="F37" s="16" t="s">
        <v>1124</v>
      </c>
      <c r="G37" s="331">
        <v>4</v>
      </c>
      <c r="H37" s="332"/>
      <c r="I37" s="13">
        <f>VLOOKUP(Table3514[[#This Row],[Part Number]],'2023 Pricing Rework'!$B$9:$F$754,5,FALSE)</f>
        <v>521.83000000000004</v>
      </c>
      <c r="J37" s="13">
        <v>0</v>
      </c>
    </row>
    <row r="38" spans="3:10" ht="18.5" customHeight="1">
      <c r="C38" s="10"/>
      <c r="F38" s="16"/>
      <c r="H38" s="111"/>
      <c r="I38" s="111"/>
      <c r="J38" s="111"/>
    </row>
    <row r="39" spans="3:10" ht="18.5" customHeight="1">
      <c r="C39" s="10"/>
      <c r="F39" s="16"/>
      <c r="H39" s="111"/>
      <c r="I39" s="110"/>
      <c r="J39" s="335"/>
    </row>
    <row r="40" spans="3:10" ht="18.5" customHeight="1">
      <c r="C40" s="10"/>
      <c r="F40" s="16"/>
      <c r="H40" s="111"/>
      <c r="I40" s="111"/>
      <c r="J40" s="111"/>
    </row>
    <row r="41" spans="3:10" ht="18.5" customHeight="1">
      <c r="C41" s="6" t="s">
        <v>281</v>
      </c>
      <c r="F41" s="16"/>
      <c r="I41" s="7"/>
      <c r="J41" s="7"/>
    </row>
    <row r="42" spans="3:10" ht="18.5" customHeight="1">
      <c r="C42" s="10"/>
      <c r="D42" s="330">
        <v>2811102800</v>
      </c>
      <c r="E42" t="s">
        <v>1109</v>
      </c>
      <c r="F42" s="16" t="s">
        <v>1761</v>
      </c>
      <c r="G42" s="2">
        <v>1</v>
      </c>
      <c r="H42" s="80"/>
      <c r="I42" s="337">
        <f>VLOOKUP(Table3514[[#This Row],[Part Number]],'2023 Pricing Rework'!$B$9:$F$754,5,FALSE)</f>
        <v>6.74</v>
      </c>
      <c r="J42" s="13">
        <f>Table3514[[#This Row],[Your Price]]*Table3514[[#This Row],[Qty]]</f>
        <v>0</v>
      </c>
    </row>
    <row r="43" spans="3:10" ht="18.5" customHeight="1">
      <c r="C43" s="10"/>
      <c r="D43" s="330">
        <v>2811202800</v>
      </c>
      <c r="E43" t="s">
        <v>1110</v>
      </c>
      <c r="F43" s="16" t="s">
        <v>1761</v>
      </c>
      <c r="G43" s="2">
        <v>1</v>
      </c>
      <c r="H43" s="80"/>
      <c r="I43" s="337">
        <f>VLOOKUP(Table3514[[#This Row],[Part Number]],'2023 Pricing Rework'!$B$9:$F$754,5,FALSE)</f>
        <v>6.86</v>
      </c>
      <c r="J43" s="13">
        <f>Table3514[[#This Row],[Your Price]]*Table3514[[#This Row],[Qty]]</f>
        <v>0</v>
      </c>
    </row>
    <row r="44" spans="3:10" ht="18.5" customHeight="1">
      <c r="C44" s="10"/>
      <c r="D44" s="330">
        <v>2811402800</v>
      </c>
      <c r="E44" t="s">
        <v>1111</v>
      </c>
      <c r="F44" s="16" t="s">
        <v>1761</v>
      </c>
      <c r="G44" s="2">
        <v>1</v>
      </c>
      <c r="H44" s="80"/>
      <c r="I44" s="337">
        <f>VLOOKUP(Table3514[[#This Row],[Part Number]],'2023 Pricing Rework'!$B$9:$F$754,5,FALSE)</f>
        <v>36.25</v>
      </c>
      <c r="J44" s="13">
        <f>Table3514[[#This Row],[Your Price]]*Table3514[[#This Row],[Qty]]</f>
        <v>0</v>
      </c>
    </row>
    <row r="45" spans="3:10" ht="18.5" customHeight="1">
      <c r="C45" s="10"/>
      <c r="D45" s="330">
        <v>2811502800</v>
      </c>
      <c r="E45" t="s">
        <v>1112</v>
      </c>
      <c r="F45" s="16" t="s">
        <v>1761</v>
      </c>
      <c r="G45" s="2">
        <v>1</v>
      </c>
      <c r="H45" s="80"/>
      <c r="I45" s="337">
        <f>VLOOKUP(Table3514[[#This Row],[Part Number]],'2023 Pricing Rework'!$B$9:$F$754,5,FALSE)</f>
        <v>39.159999999999997</v>
      </c>
      <c r="J45" s="13">
        <f>Table3514[[#This Row],[Your Price]]*Table3514[[#This Row],[Qty]]</f>
        <v>0</v>
      </c>
    </row>
    <row r="46" spans="3:10" ht="18.5" customHeight="1">
      <c r="C46" s="10"/>
      <c r="D46" s="330">
        <v>2811602890</v>
      </c>
      <c r="E46" t="s">
        <v>6</v>
      </c>
      <c r="F46" s="16" t="s">
        <v>1762</v>
      </c>
      <c r="G46" s="2">
        <v>1</v>
      </c>
      <c r="H46" s="80"/>
      <c r="I46" s="337">
        <f>VLOOKUP(Table3514[[#This Row],[Part Number]],'2023 Pricing Rework'!$B$9:$F$754,5,FALSE)</f>
        <v>48.4</v>
      </c>
      <c r="J46" s="13">
        <f>Table3514[[#This Row],[Your Price]]*Table3514[[#This Row],[Qty]]</f>
        <v>0</v>
      </c>
    </row>
    <row r="47" spans="3:10" ht="18.5" customHeight="1">
      <c r="C47" s="10"/>
      <c r="D47" s="330">
        <v>2811662890</v>
      </c>
      <c r="E47" t="s">
        <v>6</v>
      </c>
      <c r="F47" s="16" t="s">
        <v>1763</v>
      </c>
      <c r="G47" s="2">
        <v>1</v>
      </c>
      <c r="H47" s="80"/>
      <c r="I47" s="337">
        <f>VLOOKUP(Table3514[[#This Row],[Part Number]],'2023 Pricing Rework'!$B$9:$F$754,5,FALSE)</f>
        <v>114.28</v>
      </c>
      <c r="J47" s="13">
        <f>Table3514[[#This Row],[Your Price]]*Table3514[[#This Row],[Qty]]</f>
        <v>0</v>
      </c>
    </row>
    <row r="48" spans="3:10" ht="18.5" customHeight="1">
      <c r="D48" s="330">
        <v>2811702890</v>
      </c>
      <c r="E48" s="127" t="s">
        <v>7</v>
      </c>
      <c r="F48" s="2" t="s">
        <v>1762</v>
      </c>
      <c r="G48" s="2">
        <v>1</v>
      </c>
      <c r="H48" s="80"/>
      <c r="I48" s="337">
        <f>VLOOKUP(Table3514[[#This Row],[Part Number]],'2023 Pricing Rework'!$B$9:$F$754,5,FALSE)</f>
        <v>61.13</v>
      </c>
      <c r="J48" s="13">
        <f>Table3514[[#This Row],[Your Price]]*Table3514[[#This Row],[Qty]]</f>
        <v>0</v>
      </c>
    </row>
    <row r="49" spans="3:10" ht="37.5" customHeight="1">
      <c r="D49" s="330">
        <v>2811772890</v>
      </c>
      <c r="E49" s="333" t="s">
        <v>1765</v>
      </c>
      <c r="F49" s="127" t="s">
        <v>1766</v>
      </c>
      <c r="G49" s="7">
        <v>1</v>
      </c>
      <c r="H49" s="80"/>
      <c r="I49" s="337">
        <f>VLOOKUP(Table3514[[#This Row],[Part Number]],'2023 Pricing Rework'!$B$9:$F$754,5,FALSE)</f>
        <v>96.93</v>
      </c>
      <c r="J49" s="13">
        <f>Table3514[[#This Row],[Your Price]]*Table3514[[#This Row],[Qty]]</f>
        <v>0</v>
      </c>
    </row>
    <row r="50" spans="3:10" ht="18.5" customHeight="1">
      <c r="D50" s="330">
        <v>2811772891</v>
      </c>
      <c r="E50" t="s">
        <v>7</v>
      </c>
      <c r="F50" s="16" t="s">
        <v>1806</v>
      </c>
      <c r="G50" s="2">
        <v>1</v>
      </c>
      <c r="H50" s="80"/>
      <c r="I50" s="337">
        <f>VLOOKUP(Table3514[[#This Row],[Part Number]],'2023 Pricing Rework'!$B$9:$F$754,5,FALSE)</f>
        <v>81.81</v>
      </c>
      <c r="J50" s="13">
        <f>Table3514[[#This Row],[Your Price]]*Table3514[[#This Row],[Qty]]</f>
        <v>0</v>
      </c>
    </row>
    <row r="51" spans="3:10" ht="18.5" customHeight="1">
      <c r="D51" s="330"/>
      <c r="F51" s="16"/>
      <c r="I51" s="7"/>
      <c r="J51" s="7"/>
    </row>
    <row r="52" spans="3:10" ht="18.5" customHeight="1">
      <c r="C52" s="6" t="s">
        <v>1120</v>
      </c>
      <c r="D52" s="330"/>
      <c r="F52" s="16"/>
      <c r="I52" s="7"/>
      <c r="J52" s="7"/>
    </row>
    <row r="53" spans="3:10" ht="18.5" customHeight="1">
      <c r="D53" s="330">
        <v>2810802800</v>
      </c>
      <c r="E53" t="s">
        <v>282</v>
      </c>
      <c r="F53" s="16" t="s">
        <v>1841</v>
      </c>
      <c r="G53" s="2">
        <v>1</v>
      </c>
      <c r="H53" s="81"/>
      <c r="I53" s="337">
        <f>VLOOKUP(Table3514[[#This Row],[Part Number]],'2023 Pricing Rework'!$B$9:$F$754,5,FALSE)</f>
        <v>59.9</v>
      </c>
      <c r="J53" s="13">
        <f>Table3514[[#This Row],[Your Price]]*Table3514[[#This Row],[Qty]]</f>
        <v>0</v>
      </c>
    </row>
    <row r="54" spans="3:10" ht="18.5" customHeight="1">
      <c r="F54" s="16"/>
      <c r="I54" s="7"/>
      <c r="J54" s="7"/>
    </row>
    <row r="55" spans="3:10" ht="18.5" customHeight="1">
      <c r="C55" s="6" t="s">
        <v>1760</v>
      </c>
      <c r="D55" s="330"/>
      <c r="F55" s="16"/>
      <c r="I55" s="7"/>
      <c r="J55" s="7"/>
    </row>
    <row r="56" spans="3:10" ht="18.5" customHeight="1">
      <c r="D56" s="330">
        <v>4027132308</v>
      </c>
      <c r="E56" t="s">
        <v>9</v>
      </c>
      <c r="F56" s="16" t="s">
        <v>1835</v>
      </c>
      <c r="G56" s="2">
        <v>1</v>
      </c>
      <c r="H56" s="80"/>
      <c r="I56" s="337">
        <f>VLOOKUP(Table3514[[#This Row],[Part Number]],'2023 Pricing Rework'!$B$9:$F$754,5,FALSE)</f>
        <v>75.67</v>
      </c>
      <c r="J56" s="13">
        <f>Table3514[[#This Row],[Your Price]]*Table3514[[#This Row],[Qty]]</f>
        <v>0</v>
      </c>
    </row>
    <row r="57" spans="3:10" ht="18.5" customHeight="1">
      <c r="D57" s="334">
        <v>462360123</v>
      </c>
      <c r="E57" t="s">
        <v>10</v>
      </c>
      <c r="F57" s="16" t="s">
        <v>1836</v>
      </c>
      <c r="G57" s="2">
        <v>1</v>
      </c>
      <c r="H57" s="81"/>
      <c r="I57" s="337">
        <f>VLOOKUP(Table3514[[#This Row],[Part Number]],'2023 Pricing Rework'!$B$9:$F$754,5,FALSE)</f>
        <v>14.73</v>
      </c>
      <c r="J57" s="13">
        <f>Table3514[[#This Row],[Your Price]]*Table3514[[#This Row],[Qty]]</f>
        <v>0</v>
      </c>
    </row>
    <row r="58" spans="3:10" ht="18.5" customHeight="1">
      <c r="D58" s="330"/>
      <c r="F58" s="16"/>
      <c r="H58" s="2"/>
      <c r="I58" s="2"/>
      <c r="J58" s="2"/>
    </row>
    <row r="59" spans="3:10" ht="18.5" customHeight="1">
      <c r="C59" s="6" t="s">
        <v>67</v>
      </c>
      <c r="D59" s="330"/>
      <c r="F59" s="16"/>
      <c r="I59" s="7"/>
      <c r="J59" s="7"/>
    </row>
    <row r="60" spans="3:10" ht="18.5" customHeight="1">
      <c r="C60" s="10"/>
      <c r="D60" s="330">
        <v>2811004500</v>
      </c>
      <c r="E60" t="s">
        <v>68</v>
      </c>
      <c r="F60" s="16" t="s">
        <v>31</v>
      </c>
      <c r="G60" s="2">
        <v>1</v>
      </c>
      <c r="H60" s="80"/>
      <c r="I60" s="337">
        <f>VLOOKUP(Table3514[[#This Row],[Part Number]],'2023 Pricing Rework'!$B$9:$F$754,5,FALSE)</f>
        <v>445.51</v>
      </c>
      <c r="J60" s="13">
        <f>Table3514[[#This Row],[Your Price]]*Table3514[[#This Row],[Qty]]</f>
        <v>0</v>
      </c>
    </row>
    <row r="61" spans="3:10" ht="18.5" customHeight="1">
      <c r="C61" s="10"/>
      <c r="D61" s="330">
        <v>2811024500</v>
      </c>
      <c r="E61" t="s">
        <v>70</v>
      </c>
      <c r="F61" s="16" t="s">
        <v>1764</v>
      </c>
      <c r="G61" s="2">
        <v>1</v>
      </c>
      <c r="H61" s="80"/>
      <c r="I61" s="337">
        <f>VLOOKUP(Table3514[[#This Row],[Part Number]],'2023 Pricing Rework'!$B$9:$F$754,5,FALSE)</f>
        <v>809.02</v>
      </c>
      <c r="J61" s="13">
        <f>Table3514[[#This Row],[Your Price]]*Table3514[[#This Row],[Qty]]</f>
        <v>0</v>
      </c>
    </row>
    <row r="62" spans="3:10" ht="18.5" customHeight="1">
      <c r="C62" s="10"/>
      <c r="D62" s="330"/>
      <c r="F62" s="16"/>
      <c r="I62" s="7"/>
      <c r="J62" s="7"/>
    </row>
    <row r="63" spans="3:10" ht="18.5" customHeight="1">
      <c r="C63" s="10"/>
      <c r="D63" s="330"/>
      <c r="F63" s="16"/>
      <c r="I63" s="7"/>
      <c r="J63" s="7"/>
    </row>
    <row r="64" spans="3:10" ht="18.5" customHeight="1">
      <c r="C64" s="10"/>
      <c r="D64" s="330"/>
      <c r="F64" s="16"/>
      <c r="I64" s="7"/>
      <c r="J64" s="7"/>
    </row>
    <row r="65" spans="3:10" ht="18.5" customHeight="1">
      <c r="C65" s="10"/>
      <c r="D65" s="330"/>
      <c r="F65" s="16"/>
      <c r="I65" s="7"/>
      <c r="J65" s="7"/>
    </row>
    <row r="66" spans="3:10" ht="18.5" customHeight="1">
      <c r="D66" s="330"/>
      <c r="F66" s="16"/>
      <c r="I66" s="7"/>
      <c r="J66" s="7"/>
    </row>
    <row r="67" spans="3:10" ht="14.4" hidden="1" customHeight="1">
      <c r="C67" s="6" t="s">
        <v>82</v>
      </c>
      <c r="F67" s="16"/>
      <c r="I67" s="13"/>
      <c r="J67" s="13"/>
    </row>
    <row r="68" spans="3:10" ht="14.4" hidden="1" customHeight="1">
      <c r="D68" s="2">
        <v>462101105</v>
      </c>
      <c r="F68" s="16" t="s">
        <v>294</v>
      </c>
      <c r="G68" s="2">
        <v>1</v>
      </c>
      <c r="H68" s="80"/>
      <c r="I68" s="13" t="e">
        <f>VLOOKUP(Table3514[[#This Row],[Part Number]],#REF!,11,FALSE)</f>
        <v>#REF!</v>
      </c>
      <c r="J68" s="13" t="e">
        <f>Table3514[[#This Row],[Your Price]]*Table3514[[#This Row],[Qty]]</f>
        <v>#REF!</v>
      </c>
    </row>
    <row r="69" spans="3:10" ht="14.4" hidden="1" customHeight="1">
      <c r="D69" s="2">
        <v>462709421</v>
      </c>
      <c r="F69" s="16" t="s">
        <v>295</v>
      </c>
      <c r="G69" s="2">
        <v>1</v>
      </c>
      <c r="H69" s="80"/>
      <c r="I69" s="13" t="e">
        <f>VLOOKUP(Table3514[[#This Row],[Part Number]],#REF!,11,FALSE)</f>
        <v>#REF!</v>
      </c>
      <c r="J69" s="13" t="e">
        <f>Table3514[[#This Row],[Your Price]]*Table3514[[#This Row],[Qty]]</f>
        <v>#REF!</v>
      </c>
    </row>
    <row r="70" spans="3:10" ht="14.4" hidden="1" customHeight="1">
      <c r="F70" s="16"/>
    </row>
  </sheetData>
  <sheetProtection algorithmName="SHA-512" hashValue="4phjFRIejcZsUsJT9+wqfz9vPoEaGoBC0P06ftVVVnStvBq63fi/oYt9qy/qMJ2b4ZhZaz2nVmUuA7hqtu00Dg==" saltValue="wGUwHxG437cK0ywm67Savg==" spinCount="100000" sheet="1" objects="1" scenarios="1" selectLockedCells="1"/>
  <mergeCells count="1">
    <mergeCell ref="D1:G1"/>
  </mergeCells>
  <phoneticPr fontId="43" type="noConversion"/>
  <hyperlinks>
    <hyperlink ref="F50" location="'NPT Adapters'!A1" display="3&quot; NPT Union Adapter Fitting" xr:uid="{BAC62A52-ECBC-45F0-8AE6-952DE705DAC0}"/>
  </hyperlinks>
  <pageMargins left="0.7" right="0.7" top="0.75" bottom="0.75" header="0.3" footer="0.3"/>
  <pageSetup orientation="portrait" r:id="rId1"/>
  <ignoredErrors>
    <ignoredError sqref="J67:J69 J40:J41 J4:J8 J38 J58:J59 J60:J61 J54:J55 J51:J52 J42:J50 J53 J56:J57 J34:J35 J27:J29 J15:J16 J11:J12 J24:J25 J9:J10 J26 J13:J14 J18:J23 J30:J33 J36" calculatedColumn="1"/>
  </ignoredErrors>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theme="5"/>
  </sheetPr>
  <dimension ref="A1:K78"/>
  <sheetViews>
    <sheetView showGridLines="0" showRowColHeader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0" customHeight="1" zeroHeight="1"/>
  <cols>
    <col min="1" max="1" width="0.90625" customWidth="1"/>
    <col min="2" max="2" width="25.81640625" style="1" customWidth="1"/>
    <col min="3" max="3" width="27.1796875" style="1" bestFit="1" customWidth="1"/>
    <col min="4" max="4" width="14.81640625" style="2" customWidth="1"/>
    <col min="5" max="5" width="20.81640625" customWidth="1"/>
    <col min="6" max="6" width="28.81640625" style="16" customWidth="1"/>
    <col min="7" max="7" width="9.81640625" style="2" customWidth="1"/>
    <col min="8" max="8" width="11.81640625" style="7" customWidth="1"/>
    <col min="9" max="10" width="11.81640625" style="8" customWidth="1"/>
    <col min="11" max="11" width="13.81640625" style="8" customWidth="1"/>
    <col min="12" max="16384" width="8.90625" hidden="1"/>
  </cols>
  <sheetData>
    <row r="1" spans="1:11" ht="54" customHeight="1">
      <c r="A1" s="133"/>
      <c r="B1" s="136"/>
      <c r="C1" s="135"/>
      <c r="D1" s="367" t="s">
        <v>319</v>
      </c>
      <c r="E1" s="367"/>
      <c r="F1" s="367"/>
      <c r="G1" s="367"/>
      <c r="H1" s="22" t="s">
        <v>283</v>
      </c>
    </row>
    <row r="2" spans="1:11" ht="18.5">
      <c r="A2" s="61"/>
      <c r="B2" s="3" t="s">
        <v>145</v>
      </c>
      <c r="C2" s="3" t="s">
        <v>14</v>
      </c>
      <c r="D2" s="4" t="s">
        <v>304</v>
      </c>
      <c r="E2" s="4" t="s">
        <v>347</v>
      </c>
      <c r="F2" s="129" t="s">
        <v>89</v>
      </c>
      <c r="G2" s="60" t="s">
        <v>53</v>
      </c>
      <c r="H2" s="26" t="s">
        <v>207</v>
      </c>
      <c r="I2" s="324" t="s">
        <v>1824</v>
      </c>
      <c r="J2" s="20" t="s">
        <v>1823</v>
      </c>
      <c r="K2" s="20" t="s">
        <v>266</v>
      </c>
    </row>
    <row r="3" spans="1:11" ht="29">
      <c r="A3" s="62"/>
      <c r="B3" s="5" t="s">
        <v>145</v>
      </c>
      <c r="C3" s="6" t="s">
        <v>232</v>
      </c>
      <c r="F3" s="17" t="s">
        <v>43</v>
      </c>
      <c r="I3" s="13"/>
      <c r="J3" s="13"/>
      <c r="K3" s="13"/>
    </row>
    <row r="4" spans="1:11" ht="14.4" customHeight="1">
      <c r="B4" s="381"/>
      <c r="C4" s="381"/>
      <c r="D4" s="330">
        <v>2813920004</v>
      </c>
      <c r="E4" t="s">
        <v>23</v>
      </c>
      <c r="F4" s="16" t="s">
        <v>396</v>
      </c>
      <c r="G4" s="2">
        <v>1</v>
      </c>
      <c r="H4" s="80"/>
      <c r="I4" s="321">
        <f>VLOOKUP(Table337[[#This Row],[Part Number]],'2023 Pricing Rework'!$B$31:$F$754,5,FALSE)</f>
        <v>146.99</v>
      </c>
      <c r="J4" s="13">
        <f>VLOOKUP(Table337[[#This Row],[Part Number]],'2023 Pricing Rework'!$B$31:$F$754,4,FALSE)</f>
        <v>195.98</v>
      </c>
      <c r="K4" s="13">
        <f>Table337[[#This Row],[Your Price]]*Table337[[#This Row],[Qty]]</f>
        <v>0</v>
      </c>
    </row>
    <row r="5" spans="1:11" ht="14.4" customHeight="1">
      <c r="B5" s="381"/>
      <c r="C5" s="381"/>
      <c r="D5" s="330">
        <v>2813920006</v>
      </c>
      <c r="E5" t="s">
        <v>22</v>
      </c>
      <c r="F5" s="16" t="s">
        <v>395</v>
      </c>
      <c r="G5" s="2">
        <v>1</v>
      </c>
      <c r="H5" s="80"/>
      <c r="I5" s="321">
        <f>VLOOKUP(Table337[[#This Row],[Part Number]],'2023 Pricing Rework'!$B$31:$F$754,5,FALSE)</f>
        <v>148.43</v>
      </c>
      <c r="J5" s="13">
        <f>VLOOKUP(Table337[[#This Row],[Part Number]],'2023 Pricing Rework'!$B$31:$F$754,4,FALSE)</f>
        <v>197.89999999999998</v>
      </c>
      <c r="K5" s="13">
        <f>Table337[[#This Row],[Your Price]]*Table337[[#This Row],[Qty]]</f>
        <v>0</v>
      </c>
    </row>
    <row r="6" spans="1:11" ht="14.4" customHeight="1">
      <c r="B6" s="381"/>
      <c r="C6" s="381"/>
      <c r="D6" s="330">
        <v>2813920018</v>
      </c>
      <c r="E6" t="s">
        <v>23</v>
      </c>
      <c r="F6" s="16" t="s">
        <v>411</v>
      </c>
      <c r="G6" s="2">
        <v>1</v>
      </c>
      <c r="H6" s="80"/>
      <c r="I6" s="321">
        <f>VLOOKUP(Table337[[#This Row],[Part Number]],'2023 Pricing Rework'!$B$31:$F$754,5,FALSE)</f>
        <v>140.03</v>
      </c>
      <c r="J6" s="13">
        <f>VLOOKUP(Table337[[#This Row],[Part Number]],'2023 Pricing Rework'!$B$31:$F$754,4,FALSE)</f>
        <v>186.7</v>
      </c>
      <c r="K6" s="13">
        <f>Table337[[#This Row],[Your Price]]*Table337[[#This Row],[Qty]]</f>
        <v>0</v>
      </c>
    </row>
    <row r="7" spans="1:11" ht="14.4" customHeight="1">
      <c r="B7" s="381"/>
      <c r="C7" s="381"/>
      <c r="D7" s="330">
        <v>2813920020</v>
      </c>
      <c r="E7" t="s">
        <v>22</v>
      </c>
      <c r="F7" s="16" t="s">
        <v>411</v>
      </c>
      <c r="G7" s="2">
        <v>1</v>
      </c>
      <c r="H7" s="80"/>
      <c r="I7" s="321">
        <f>VLOOKUP(Table337[[#This Row],[Part Number]],'2023 Pricing Rework'!$B$31:$F$754,5,FALSE)</f>
        <v>140.37</v>
      </c>
      <c r="J7" s="13">
        <f>VLOOKUP(Table337[[#This Row],[Part Number]],'2023 Pricing Rework'!$B$31:$F$754,4,FALSE)</f>
        <v>187.16</v>
      </c>
      <c r="K7" s="13">
        <f>Table337[[#This Row],[Your Price]]*Table337[[#This Row],[Qty]]</f>
        <v>0</v>
      </c>
    </row>
    <row r="8" spans="1:11" ht="14.4" customHeight="1">
      <c r="B8" s="381"/>
      <c r="C8" s="381"/>
      <c r="D8" s="330">
        <v>2813920030</v>
      </c>
      <c r="E8" t="s">
        <v>23</v>
      </c>
      <c r="F8" s="16" t="s">
        <v>397</v>
      </c>
      <c r="G8" s="2">
        <v>1</v>
      </c>
      <c r="H8" s="80"/>
      <c r="I8" s="321">
        <f>VLOOKUP(Table337[[#This Row],[Part Number]],'2023 Pricing Rework'!$B$31:$F$754,5,FALSE)</f>
        <v>250.16</v>
      </c>
      <c r="J8" s="13">
        <f>VLOOKUP(Table337[[#This Row],[Part Number]],'2023 Pricing Rework'!$B$31:$F$754,4,FALSE)</f>
        <v>333.55</v>
      </c>
      <c r="K8" s="13">
        <f>Table337[[#This Row],[Your Price]]*Table337[[#This Row],[Qty]]</f>
        <v>0</v>
      </c>
    </row>
    <row r="9" spans="1:11" ht="14.4" customHeight="1">
      <c r="B9" s="381"/>
      <c r="C9" s="381"/>
      <c r="D9" s="330">
        <v>2813920032</v>
      </c>
      <c r="E9" t="s">
        <v>22</v>
      </c>
      <c r="F9" s="16" t="s">
        <v>397</v>
      </c>
      <c r="G9" s="2">
        <v>1</v>
      </c>
      <c r="H9" s="80"/>
      <c r="I9" s="321">
        <f>VLOOKUP(Table337[[#This Row],[Part Number]],'2023 Pricing Rework'!$B$31:$F$754,5,FALSE)</f>
        <v>255.31</v>
      </c>
      <c r="J9" s="13">
        <f>VLOOKUP(Table337[[#This Row],[Part Number]],'2023 Pricing Rework'!$B$31:$F$754,4,FALSE)</f>
        <v>340.40999999999997</v>
      </c>
      <c r="K9" s="13">
        <f>Table337[[#This Row],[Your Price]]*Table337[[#This Row],[Qty]]</f>
        <v>0</v>
      </c>
    </row>
    <row r="10" spans="1:11" ht="14.4" customHeight="1">
      <c r="B10" s="381"/>
      <c r="C10" s="381"/>
      <c r="D10" s="330">
        <v>2813920011</v>
      </c>
      <c r="E10" t="s">
        <v>23</v>
      </c>
      <c r="F10" s="157" t="s">
        <v>398</v>
      </c>
      <c r="G10" s="2">
        <v>1</v>
      </c>
      <c r="H10" s="80"/>
      <c r="I10" s="321">
        <f>VLOOKUP(Table337[[#This Row],[Part Number]],'2023 Pricing Rework'!$B$31:$F$754,5,FALSE)</f>
        <v>120.77</v>
      </c>
      <c r="J10" s="13">
        <f>VLOOKUP(Table337[[#This Row],[Part Number]],'2023 Pricing Rework'!$B$31:$F$754,4,FALSE)</f>
        <v>161.03</v>
      </c>
      <c r="K10" s="13">
        <f>Table337[[#This Row],[Your Price]]*Table337[[#This Row],[Qty]]</f>
        <v>0</v>
      </c>
    </row>
    <row r="11" spans="1:11" ht="14.4" customHeight="1">
      <c r="B11" s="381"/>
      <c r="C11" s="381"/>
      <c r="D11" s="330">
        <v>2813920013</v>
      </c>
      <c r="E11" t="s">
        <v>22</v>
      </c>
      <c r="F11" s="157" t="s">
        <v>398</v>
      </c>
      <c r="G11" s="2">
        <v>1</v>
      </c>
      <c r="H11" s="80"/>
      <c r="I11" s="321">
        <f>VLOOKUP(Table337[[#This Row],[Part Number]],'2023 Pricing Rework'!$B$31:$F$754,5,FALSE)</f>
        <v>125.98</v>
      </c>
      <c r="J11" s="13">
        <f>VLOOKUP(Table337[[#This Row],[Part Number]],'2023 Pricing Rework'!$B$31:$F$754,4,FALSE)</f>
        <v>167.97</v>
      </c>
      <c r="K11" s="13">
        <f>Table337[[#This Row],[Your Price]]*Table337[[#This Row],[Qty]]</f>
        <v>0</v>
      </c>
    </row>
    <row r="12" spans="1:11" ht="14.4" customHeight="1">
      <c r="B12" s="9"/>
      <c r="C12" s="5" t="s">
        <v>236</v>
      </c>
      <c r="D12" s="330"/>
      <c r="F12" s="17"/>
      <c r="I12" s="13"/>
      <c r="J12" s="13"/>
      <c r="K12" s="13"/>
    </row>
    <row r="13" spans="1:11" ht="14.4" customHeight="1">
      <c r="B13" s="9"/>
      <c r="D13" s="330">
        <v>1312100325</v>
      </c>
      <c r="E13" t="s">
        <v>237</v>
      </c>
      <c r="F13" s="17"/>
      <c r="G13" s="2">
        <v>1</v>
      </c>
      <c r="H13" s="80"/>
      <c r="I13" s="321">
        <f>VLOOKUP(Table337[[#This Row],[Part Number]],'2023 Pricing Rework'!$B$31:$F$754,5,FALSE)</f>
        <v>2.84</v>
      </c>
      <c r="J13" s="13">
        <f>VLOOKUP(Table337[[#This Row],[Part Number]],'2023 Pricing Rework'!$B$31:$F$754,4,FALSE)</f>
        <v>3.79</v>
      </c>
      <c r="K13" s="13">
        <f>Table337[[#This Row],[Your Price]]*Table337[[#This Row],[Qty]]</f>
        <v>0</v>
      </c>
    </row>
    <row r="14" spans="1:11" ht="14.4" customHeight="1">
      <c r="B14" s="9"/>
      <c r="C14" s="9"/>
      <c r="D14" s="330">
        <v>1312100326</v>
      </c>
      <c r="E14" t="s">
        <v>238</v>
      </c>
      <c r="F14" s="17"/>
      <c r="G14" s="2">
        <v>1</v>
      </c>
      <c r="H14" s="80"/>
      <c r="I14" s="321">
        <f>VLOOKUP(Table337[[#This Row],[Part Number]],'2023 Pricing Rework'!$B$31:$F$754,5,FALSE)</f>
        <v>2.09</v>
      </c>
      <c r="J14" s="13">
        <f>VLOOKUP(Table337[[#This Row],[Part Number]],'2023 Pricing Rework'!$B$31:$F$754,4,FALSE)</f>
        <v>2.79</v>
      </c>
      <c r="K14" s="13">
        <f>Table337[[#This Row],[Your Price]]*Table337[[#This Row],[Qty]]</f>
        <v>0</v>
      </c>
    </row>
    <row r="15" spans="1:11" ht="14.4" customHeight="1">
      <c r="B15" s="9"/>
      <c r="C15" s="9"/>
      <c r="D15" s="330">
        <v>1312100335</v>
      </c>
      <c r="E15" t="s">
        <v>239</v>
      </c>
      <c r="F15" s="17"/>
      <c r="G15" s="2">
        <v>1</v>
      </c>
      <c r="H15" s="80"/>
      <c r="I15" s="321">
        <f>VLOOKUP(Table337[[#This Row],[Part Number]],'2023 Pricing Rework'!$B$31:$F$754,5,FALSE)</f>
        <v>13.02</v>
      </c>
      <c r="J15" s="13">
        <f>VLOOKUP(Table337[[#This Row],[Part Number]],'2023 Pricing Rework'!$B$31:$F$754,4,FALSE)</f>
        <v>17.36</v>
      </c>
      <c r="K15" s="13">
        <f>Table337[[#This Row],[Your Price]]*Table337[[#This Row],[Qty]]</f>
        <v>0</v>
      </c>
    </row>
    <row r="16" spans="1:11" ht="14.4" customHeight="1">
      <c r="B16" s="9"/>
      <c r="C16" s="9"/>
      <c r="D16" s="330">
        <v>1310203228</v>
      </c>
      <c r="E16" t="s">
        <v>240</v>
      </c>
      <c r="F16" s="17"/>
      <c r="G16" s="2">
        <v>1</v>
      </c>
      <c r="H16" s="80"/>
      <c r="I16" s="321">
        <f>VLOOKUP(Table337[[#This Row],[Part Number]],'2023 Pricing Rework'!$B$31:$F$754,5,FALSE)</f>
        <v>4.5199999999999996</v>
      </c>
      <c r="J16" s="13">
        <f>VLOOKUP(Table337[[#This Row],[Part Number]],'2023 Pricing Rework'!$B$31:$F$754,4,FALSE)</f>
        <v>6.02</v>
      </c>
      <c r="K16" s="13">
        <f>Table337[[#This Row],[Your Price]]*Table337[[#This Row],[Qty]]</f>
        <v>0</v>
      </c>
    </row>
    <row r="17" spans="2:11" ht="14.4" customHeight="1">
      <c r="B17" s="9"/>
      <c r="C17" s="9"/>
      <c r="D17" s="330">
        <v>1310072403</v>
      </c>
      <c r="E17" t="s">
        <v>241</v>
      </c>
      <c r="F17" s="17"/>
      <c r="G17" s="2">
        <v>1</v>
      </c>
      <c r="H17" s="80"/>
      <c r="I17" s="321">
        <f>VLOOKUP(Table337[[#This Row],[Part Number]],'2023 Pricing Rework'!$B$31:$F$754,5,FALSE)</f>
        <v>7.28</v>
      </c>
      <c r="J17" s="13">
        <f>VLOOKUP(Table337[[#This Row],[Part Number]],'2023 Pricing Rework'!$B$31:$F$754,4,FALSE)</f>
        <v>9.7100000000000009</v>
      </c>
      <c r="K17" s="13">
        <f>Table337[[#This Row],[Your Price]]*Table337[[#This Row],[Qty]]</f>
        <v>0</v>
      </c>
    </row>
    <row r="18" spans="2:11" ht="14.4" customHeight="1">
      <c r="B18" s="9"/>
      <c r="C18" s="9"/>
      <c r="D18" s="330">
        <v>1310201169</v>
      </c>
      <c r="E18" t="s">
        <v>242</v>
      </c>
      <c r="F18" s="17"/>
      <c r="G18" s="2">
        <v>1</v>
      </c>
      <c r="H18" s="80"/>
      <c r="I18" s="321">
        <f>VLOOKUP(Table337[[#This Row],[Part Number]],'2023 Pricing Rework'!$B$31:$F$754,5,FALSE)</f>
        <v>12.15</v>
      </c>
      <c r="J18" s="13">
        <f>VLOOKUP(Table337[[#This Row],[Part Number]],'2023 Pricing Rework'!$B$31:$F$754,4,FALSE)</f>
        <v>16.2</v>
      </c>
      <c r="K18" s="13">
        <f>Table337[[#This Row],[Your Price]]*Table337[[#This Row],[Qty]]</f>
        <v>0</v>
      </c>
    </row>
    <row r="19" spans="2:11" ht="14.4" customHeight="1">
      <c r="B19"/>
      <c r="C19" s="9"/>
      <c r="D19" s="330">
        <v>1310256325</v>
      </c>
      <c r="E19" t="s">
        <v>243</v>
      </c>
      <c r="F19" s="17"/>
      <c r="G19" s="2">
        <v>1</v>
      </c>
      <c r="H19" s="80"/>
      <c r="I19" s="321">
        <f>VLOOKUP(Table337[[#This Row],[Part Number]],'2023 Pricing Rework'!$B$31:$F$754,5,FALSE)</f>
        <v>26.15</v>
      </c>
      <c r="J19" s="13">
        <f>VLOOKUP(Table337[[#This Row],[Part Number]],'2023 Pricing Rework'!$B$31:$F$754,4,FALSE)</f>
        <v>34.869999999999997</v>
      </c>
      <c r="K19" s="13">
        <f>Table337[[#This Row],[Your Price]]*Table337[[#This Row],[Qty]]</f>
        <v>0</v>
      </c>
    </row>
    <row r="20" spans="2:11" ht="14.4" customHeight="1">
      <c r="B20" s="9"/>
      <c r="C20" s="9"/>
      <c r="D20" s="330">
        <v>1310256514</v>
      </c>
      <c r="E20" t="s">
        <v>244</v>
      </c>
      <c r="F20" s="17"/>
      <c r="G20" s="2">
        <v>1</v>
      </c>
      <c r="H20" s="80"/>
      <c r="I20" s="321">
        <f>VLOOKUP(Table337[[#This Row],[Part Number]],'2023 Pricing Rework'!$B$31:$F$754,5,FALSE)</f>
        <v>28.7</v>
      </c>
      <c r="J20" s="13">
        <f>VLOOKUP(Table337[[#This Row],[Part Number]],'2023 Pricing Rework'!$B$31:$F$754,4,FALSE)</f>
        <v>38.270000000000003</v>
      </c>
      <c r="K20" s="13">
        <f>Table337[[#This Row],[Your Price]]*Table337[[#This Row],[Qty]]</f>
        <v>0</v>
      </c>
    </row>
    <row r="21" spans="2:11" ht="14.4" customHeight="1">
      <c r="B21" s="9"/>
      <c r="C21" s="9"/>
      <c r="D21" s="330">
        <v>1310256082</v>
      </c>
      <c r="E21" t="s">
        <v>245</v>
      </c>
      <c r="F21" s="17"/>
      <c r="G21" s="2">
        <v>1</v>
      </c>
      <c r="H21" s="80"/>
      <c r="I21" s="321">
        <f>VLOOKUP(Table337[[#This Row],[Part Number]],'2023 Pricing Rework'!$B$31:$F$754,5,FALSE)</f>
        <v>35.08</v>
      </c>
      <c r="J21" s="13">
        <f>VLOOKUP(Table337[[#This Row],[Part Number]],'2023 Pricing Rework'!$B$31:$F$754,4,FALSE)</f>
        <v>46.77</v>
      </c>
      <c r="K21" s="13">
        <f>Table337[[#This Row],[Your Price]]*Table337[[#This Row],[Qty]]</f>
        <v>0</v>
      </c>
    </row>
    <row r="22" spans="2:11" ht="14.4" customHeight="1">
      <c r="B22" s="9"/>
      <c r="C22" s="5" t="s">
        <v>374</v>
      </c>
      <c r="D22" s="330"/>
      <c r="F22" s="17"/>
      <c r="H22" s="111">
        <v>1</v>
      </c>
      <c r="I22" s="12"/>
      <c r="J22" s="12"/>
      <c r="K22" s="13"/>
    </row>
    <row r="23" spans="2:11" ht="14.4" customHeight="1">
      <c r="B23" s="9"/>
      <c r="C23" s="9"/>
      <c r="D23" s="330">
        <v>2811007700</v>
      </c>
      <c r="E23" t="s">
        <v>403</v>
      </c>
      <c r="G23" s="2">
        <v>1</v>
      </c>
      <c r="H23" s="80"/>
      <c r="I23" s="321">
        <f>VLOOKUP(Table337[[#This Row],[Part Number]],'2023 Pricing Rework'!$B$31:$F$754,5,FALSE)</f>
        <v>6.79</v>
      </c>
      <c r="J23" s="13">
        <f>VLOOKUP(Table337[[#This Row],[Part Number]],'2023 Pricing Rework'!$B$31:$F$754,4,FALSE)</f>
        <v>9.0499999999999989</v>
      </c>
      <c r="K23" s="13">
        <f>Table337[[#This Row],[Your Price]]*Table337[[#This Row],[Qty]]</f>
        <v>0</v>
      </c>
    </row>
    <row r="24" spans="2:11" ht="14.4" customHeight="1">
      <c r="B24" s="9"/>
      <c r="C24" s="9"/>
      <c r="D24" s="330">
        <v>2811117700</v>
      </c>
      <c r="E24" t="s">
        <v>404</v>
      </c>
      <c r="G24" s="2">
        <v>1</v>
      </c>
      <c r="H24" s="80"/>
      <c r="I24" s="321">
        <f>VLOOKUP(Table337[[#This Row],[Part Number]],'2023 Pricing Rework'!$B$31:$F$754,5,FALSE)</f>
        <v>11.23</v>
      </c>
      <c r="J24" s="13">
        <f>VLOOKUP(Table337[[#This Row],[Part Number]],'2023 Pricing Rework'!$B$31:$F$754,4,FALSE)</f>
        <v>14.97</v>
      </c>
      <c r="K24" s="13">
        <f>Table337[[#This Row],[Your Price]]*Table337[[#This Row],[Qty]]</f>
        <v>0</v>
      </c>
    </row>
    <row r="25" spans="2:11" ht="14.4" customHeight="1">
      <c r="B25" s="9"/>
      <c r="C25" s="9"/>
      <c r="D25" s="330">
        <v>2811227700</v>
      </c>
      <c r="E25" t="s">
        <v>405</v>
      </c>
      <c r="G25" s="2">
        <v>1</v>
      </c>
      <c r="H25" s="80"/>
      <c r="I25" s="321">
        <f>VLOOKUP(Table337[[#This Row],[Part Number]],'2023 Pricing Rework'!$B$31:$F$754,5,FALSE)</f>
        <v>25.51</v>
      </c>
      <c r="J25" s="13">
        <f>VLOOKUP(Table337[[#This Row],[Part Number]],'2023 Pricing Rework'!$B$31:$F$754,4,FALSE)</f>
        <v>34.01</v>
      </c>
      <c r="K25" s="13">
        <f>Table337[[#This Row],[Your Price]]*Table337[[#This Row],[Qty]]</f>
        <v>0</v>
      </c>
    </row>
    <row r="26" spans="2:11" ht="14.4" customHeight="1">
      <c r="B26" s="9"/>
      <c r="C26" s="9"/>
      <c r="D26" s="330">
        <v>2811447700</v>
      </c>
      <c r="E26" t="s">
        <v>406</v>
      </c>
      <c r="G26" s="2">
        <v>1</v>
      </c>
      <c r="H26" s="80"/>
      <c r="I26" s="321">
        <f>VLOOKUP(Table337[[#This Row],[Part Number]],'2023 Pricing Rework'!$B$31:$F$754,5,FALSE)</f>
        <v>39.409999999999997</v>
      </c>
      <c r="J26" s="13">
        <f>VLOOKUP(Table337[[#This Row],[Part Number]],'2023 Pricing Rework'!$B$31:$F$754,4,FALSE)</f>
        <v>52.55</v>
      </c>
      <c r="K26" s="13">
        <f>Table337[[#This Row],[Your Price]]*Table337[[#This Row],[Qty]]</f>
        <v>0</v>
      </c>
    </row>
    <row r="27" spans="2:11" ht="14.4" customHeight="1">
      <c r="B27" s="9"/>
      <c r="C27" s="9"/>
      <c r="D27" s="330">
        <v>2811557700</v>
      </c>
      <c r="E27" t="s">
        <v>407</v>
      </c>
      <c r="G27" s="2">
        <v>1</v>
      </c>
      <c r="H27" s="80"/>
      <c r="I27" s="321">
        <f>VLOOKUP(Table337[[#This Row],[Part Number]],'2023 Pricing Rework'!$B$31:$F$754,5,FALSE)</f>
        <v>10.88</v>
      </c>
      <c r="J27" s="13">
        <f>VLOOKUP(Table337[[#This Row],[Part Number]],'2023 Pricing Rework'!$B$31:$F$754,4,FALSE)</f>
        <v>14.51</v>
      </c>
      <c r="K27" s="13">
        <f>Table337[[#This Row],[Your Price]]*Table337[[#This Row],[Qty]]</f>
        <v>0</v>
      </c>
    </row>
    <row r="28" spans="2:11" ht="14.4" customHeight="1">
      <c r="B28" s="9"/>
      <c r="C28" s="5" t="s">
        <v>1780</v>
      </c>
      <c r="D28" s="330"/>
      <c r="H28" s="111">
        <v>7</v>
      </c>
      <c r="I28" s="12"/>
      <c r="J28" s="12"/>
      <c r="K28" s="13"/>
    </row>
    <row r="29" spans="2:11" ht="14.4" customHeight="1">
      <c r="B29" s="9"/>
      <c r="C29" s="9"/>
      <c r="D29" s="330">
        <v>2811007900</v>
      </c>
      <c r="E29" t="s">
        <v>1798</v>
      </c>
      <c r="G29" s="2">
        <v>1</v>
      </c>
      <c r="H29" s="158"/>
      <c r="I29" s="321">
        <f>VLOOKUP(Table337[[#This Row],[Part Number]],'2023 Pricing Rework'!$B$31:$F$754,5,FALSE)</f>
        <v>12.36</v>
      </c>
      <c r="J29" s="13">
        <f>VLOOKUP(Table337[[#This Row],[Part Number]],'2023 Pricing Rework'!$B$31:$F$754,4,FALSE)</f>
        <v>16.48</v>
      </c>
      <c r="K29" s="13">
        <f>Table337[[#This Row],[Your Price]]*Table337[[#This Row],[Qty]]</f>
        <v>0</v>
      </c>
    </row>
    <row r="30" spans="2:11" ht="14.4" customHeight="1">
      <c r="B30" s="9"/>
      <c r="C30" s="9"/>
      <c r="D30" s="330">
        <v>2811117900</v>
      </c>
      <c r="E30" t="s">
        <v>1799</v>
      </c>
      <c r="G30" s="2">
        <v>1</v>
      </c>
      <c r="H30" s="80"/>
      <c r="I30" s="321">
        <f>VLOOKUP(Table337[[#This Row],[Part Number]],'2023 Pricing Rework'!$B$31:$F$754,5,FALSE)</f>
        <v>21.22</v>
      </c>
      <c r="J30" s="13">
        <f>VLOOKUP(Table337[[#This Row],[Part Number]],'2023 Pricing Rework'!$B$31:$F$754,4,FALSE)</f>
        <v>28.290000000000003</v>
      </c>
      <c r="K30" s="13">
        <f>Table337[[#This Row],[Your Price]]*Table337[[#This Row],[Qty]]</f>
        <v>0</v>
      </c>
    </row>
    <row r="31" spans="2:11" ht="14.4" customHeight="1">
      <c r="B31" s="9"/>
      <c r="C31" s="9"/>
      <c r="D31" s="330">
        <v>2811227900</v>
      </c>
      <c r="E31" t="s">
        <v>1800</v>
      </c>
      <c r="G31" s="2">
        <v>1</v>
      </c>
      <c r="H31" s="80"/>
      <c r="I31" s="321">
        <f>VLOOKUP(Table337[[#This Row],[Part Number]],'2023 Pricing Rework'!$B$31:$F$754,5,FALSE)</f>
        <v>33.799999999999997</v>
      </c>
      <c r="J31" s="13">
        <f>VLOOKUP(Table337[[#This Row],[Part Number]],'2023 Pricing Rework'!$B$31:$F$754,4,FALSE)</f>
        <v>45.059999999999995</v>
      </c>
      <c r="K31" s="13">
        <f>Table337[[#This Row],[Your Price]]*Table337[[#This Row],[Qty]]</f>
        <v>0</v>
      </c>
    </row>
    <row r="32" spans="2:11" ht="14.4" customHeight="1">
      <c r="B32" s="9"/>
      <c r="C32" s="9"/>
      <c r="D32" s="330">
        <v>2811337900</v>
      </c>
      <c r="E32" t="s">
        <v>1801</v>
      </c>
      <c r="G32" s="2">
        <v>1</v>
      </c>
      <c r="H32" s="80"/>
      <c r="I32" s="321">
        <f>VLOOKUP(Table337[[#This Row],[Part Number]],'2023 Pricing Rework'!$B$31:$F$754,5,FALSE)</f>
        <v>34.74</v>
      </c>
      <c r="J32" s="13">
        <f>VLOOKUP(Table337[[#This Row],[Part Number]],'2023 Pricing Rework'!$B$31:$F$754,4,FALSE)</f>
        <v>46.32</v>
      </c>
      <c r="K32" s="13">
        <f>Table337[[#This Row],[Your Price]]*Table337[[#This Row],[Qty]]</f>
        <v>0</v>
      </c>
    </row>
    <row r="33" spans="2:11" ht="14.4" customHeight="1">
      <c r="B33" s="9"/>
      <c r="C33" s="9"/>
      <c r="D33" s="330">
        <v>2811447900</v>
      </c>
      <c r="E33" t="s">
        <v>1802</v>
      </c>
      <c r="G33" s="2">
        <v>1</v>
      </c>
      <c r="H33" s="80"/>
      <c r="I33" s="321">
        <f>VLOOKUP(Table337[[#This Row],[Part Number]],'2023 Pricing Rework'!$B$31:$F$754,5,FALSE)</f>
        <v>41.26</v>
      </c>
      <c r="J33" s="13">
        <f>VLOOKUP(Table337[[#This Row],[Part Number]],'2023 Pricing Rework'!$B$31:$F$754,4,FALSE)</f>
        <v>55.01</v>
      </c>
      <c r="K33" s="13">
        <f>Table337[[#This Row],[Your Price]]*Table337[[#This Row],[Qty]]</f>
        <v>0</v>
      </c>
    </row>
    <row r="34" spans="2:11" ht="14.4" customHeight="1">
      <c r="B34" s="9"/>
      <c r="C34" s="9"/>
      <c r="D34" s="330">
        <v>2811557900</v>
      </c>
      <c r="E34" t="s">
        <v>1803</v>
      </c>
      <c r="G34" s="250">
        <v>1</v>
      </c>
      <c r="H34" s="80"/>
      <c r="I34" s="321">
        <f>VLOOKUP(Table337[[#This Row],[Part Number]],'2023 Pricing Rework'!$B$31:$F$754,5,FALSE)</f>
        <v>62.41</v>
      </c>
      <c r="J34" s="13">
        <f>VLOOKUP(Table337[[#This Row],[Part Number]],'2023 Pricing Rework'!$B$31:$F$754,4,FALSE)</f>
        <v>83.210000000000008</v>
      </c>
      <c r="K34" s="13">
        <f>Table337[[#This Row],[Your Price]]*Table337[[#This Row],[Qty]]</f>
        <v>0</v>
      </c>
    </row>
    <row r="35" spans="2:11" ht="14.4" hidden="1" customHeight="1">
      <c r="B35" s="9"/>
      <c r="C35" s="5" t="s">
        <v>45</v>
      </c>
      <c r="D35" s="330"/>
      <c r="F35" s="17" t="s">
        <v>48</v>
      </c>
      <c r="G35" s="130"/>
      <c r="H35" s="111"/>
      <c r="I35" s="131"/>
      <c r="J35" s="131" t="e">
        <f>VLOOKUP(Table337[[#This Row],[Part Number]],'2023 Pricing Rework'!$B$31:$F$754,4,FALSE)</f>
        <v>#N/A</v>
      </c>
    </row>
    <row r="36" spans="2:11" ht="14.4" hidden="1" customHeight="1">
      <c r="B36" s="9"/>
      <c r="C36" s="9"/>
      <c r="D36" s="330">
        <v>1312100950</v>
      </c>
      <c r="E36" t="s">
        <v>246</v>
      </c>
      <c r="F36" s="16" t="s">
        <v>250</v>
      </c>
      <c r="G36" s="2">
        <v>1</v>
      </c>
      <c r="H36" s="80"/>
      <c r="I36" s="13"/>
      <c r="J36" s="13">
        <f>VLOOKUP(Table337[[#This Row],[Part Number]],'2023 Pricing Rework'!$B$31:$F$754,4,FALSE)</f>
        <v>225.84</v>
      </c>
      <c r="K36" s="13"/>
    </row>
    <row r="37" spans="2:11" ht="14.4" hidden="1" customHeight="1">
      <c r="B37" s="9"/>
      <c r="C37" s="9"/>
      <c r="D37" s="330">
        <v>1312100951</v>
      </c>
      <c r="E37" t="s">
        <v>246</v>
      </c>
      <c r="F37" s="16" t="s">
        <v>251</v>
      </c>
      <c r="G37" s="2">
        <v>1</v>
      </c>
      <c r="H37" s="80"/>
      <c r="I37" s="13"/>
      <c r="J37" s="13">
        <f>VLOOKUP(Table337[[#This Row],[Part Number]],'2023 Pricing Rework'!$B$31:$F$754,4,FALSE)</f>
        <v>260.49</v>
      </c>
      <c r="K37" s="13"/>
    </row>
    <row r="38" spans="2:11" ht="14.4" hidden="1" customHeight="1">
      <c r="B38" s="9"/>
      <c r="C38" s="9"/>
      <c r="D38" s="330">
        <v>1312100952</v>
      </c>
      <c r="E38" t="s">
        <v>247</v>
      </c>
      <c r="F38" s="16" t="s">
        <v>250</v>
      </c>
      <c r="G38" s="2">
        <v>1</v>
      </c>
      <c r="H38" s="80"/>
      <c r="I38" s="13"/>
      <c r="J38" s="13">
        <f>VLOOKUP(Table337[[#This Row],[Part Number]],'2023 Pricing Rework'!$B$31:$F$754,4,FALSE)</f>
        <v>279.11</v>
      </c>
      <c r="K38" s="13"/>
    </row>
    <row r="39" spans="2:11" ht="14.4" hidden="1" customHeight="1">
      <c r="B39" s="9"/>
      <c r="C39" s="9"/>
      <c r="D39" s="330">
        <v>1312100953</v>
      </c>
      <c r="E39" t="s">
        <v>247</v>
      </c>
      <c r="F39" s="16" t="s">
        <v>251</v>
      </c>
      <c r="G39" s="2">
        <v>1</v>
      </c>
      <c r="H39" s="80"/>
      <c r="I39" s="13"/>
      <c r="J39" s="13">
        <f>VLOOKUP(Table337[[#This Row],[Part Number]],'2023 Pricing Rework'!$B$31:$F$754,4,FALSE)</f>
        <v>318.58999999999997</v>
      </c>
      <c r="K39" s="13"/>
    </row>
    <row r="40" spans="2:11" ht="14.4" hidden="1" customHeight="1">
      <c r="B40" s="9"/>
      <c r="C40" s="9"/>
      <c r="D40" s="330">
        <v>1312100954</v>
      </c>
      <c r="E40" t="s">
        <v>248</v>
      </c>
      <c r="F40" s="16" t="s">
        <v>251</v>
      </c>
      <c r="G40" s="2">
        <v>1</v>
      </c>
      <c r="H40" s="80"/>
      <c r="I40" s="13"/>
      <c r="J40" s="13">
        <f>VLOOKUP(Table337[[#This Row],[Part Number]],'2023 Pricing Rework'!$B$31:$F$754,4,FALSE)</f>
        <v>507.88</v>
      </c>
      <c r="K40" s="13"/>
    </row>
    <row r="41" spans="2:11" ht="14.4" hidden="1" customHeight="1">
      <c r="B41" s="9"/>
      <c r="C41" s="9"/>
      <c r="D41" s="330">
        <v>1312100955</v>
      </c>
      <c r="E41" t="s">
        <v>249</v>
      </c>
      <c r="F41" s="16" t="s">
        <v>251</v>
      </c>
      <c r="G41" s="2">
        <v>1</v>
      </c>
      <c r="H41" s="80"/>
      <c r="I41" s="13"/>
      <c r="J41" s="13">
        <f>VLOOKUP(Table337[[#This Row],[Part Number]],'2023 Pricing Rework'!$B$31:$F$754,4,FALSE)</f>
        <v>797.34</v>
      </c>
      <c r="K41" s="13"/>
    </row>
    <row r="42" spans="2:11" ht="14.4" hidden="1" customHeight="1">
      <c r="B42" s="9"/>
      <c r="C42" s="9"/>
      <c r="D42" s="330"/>
      <c r="I42" s="13"/>
      <c r="J42" s="13" t="e">
        <f>VLOOKUP(Table337[[#This Row],[Part Number]],'2023 Pricing Rework'!$B$31:$F$754,4,FALSE)</f>
        <v>#N/A</v>
      </c>
      <c r="K42" s="13"/>
    </row>
    <row r="43" spans="2:11" ht="29">
      <c r="B43" s="9"/>
      <c r="C43" s="6" t="s">
        <v>1775</v>
      </c>
      <c r="D43" s="330"/>
      <c r="I43" s="12"/>
      <c r="J43" s="12"/>
      <c r="K43" s="12"/>
    </row>
    <row r="44" spans="2:11" ht="14.4" hidden="1" customHeight="1">
      <c r="B44" s="9"/>
      <c r="C44" s="9"/>
      <c r="D44" s="330">
        <v>1312100941</v>
      </c>
      <c r="E44" t="s">
        <v>151</v>
      </c>
      <c r="F44" s="16" t="s">
        <v>370</v>
      </c>
      <c r="G44" s="2">
        <v>1</v>
      </c>
      <c r="H44" s="80"/>
      <c r="I44" s="321">
        <f>VLOOKUP(Table337[[#This Row],[Part Number]],'2023 Pricing Rework'!$B$31:$F$754,5,FALSE)</f>
        <v>64.260000000000005</v>
      </c>
      <c r="J44" s="13">
        <f>VLOOKUP(Table337[[#This Row],[Part Number]],'2023 Pricing Rework'!$B$31:$F$754,4,FALSE)</f>
        <v>85.68</v>
      </c>
      <c r="K44" s="13">
        <f>Table337[[#This Row],[Your Price]]*Table337[[#This Row],[Qty]]</f>
        <v>0</v>
      </c>
    </row>
    <row r="45" spans="2:11" ht="14.4" hidden="1" customHeight="1">
      <c r="B45" s="9"/>
      <c r="C45" s="9"/>
      <c r="D45" s="330">
        <v>1312100942</v>
      </c>
      <c r="E45" t="s">
        <v>252</v>
      </c>
      <c r="F45" s="16" t="s">
        <v>370</v>
      </c>
      <c r="G45" s="2">
        <v>1</v>
      </c>
      <c r="H45" s="80"/>
      <c r="I45" s="321">
        <f>VLOOKUP(Table337[[#This Row],[Part Number]],'2023 Pricing Rework'!$B$31:$F$754,5,FALSE)</f>
        <v>64.260000000000005</v>
      </c>
      <c r="J45" s="13">
        <f>VLOOKUP(Table337[[#This Row],[Part Number]],'2023 Pricing Rework'!$B$31:$F$754,4,FALSE)</f>
        <v>85.68</v>
      </c>
      <c r="K45" s="13">
        <f>Table337[[#This Row],[Your Price]]*Table337[[#This Row],[Qty]]</f>
        <v>0</v>
      </c>
    </row>
    <row r="46" spans="2:11" ht="14.4" customHeight="1">
      <c r="B46" s="9"/>
      <c r="C46" s="9"/>
      <c r="D46" s="330">
        <v>1312100946</v>
      </c>
      <c r="E46" t="s">
        <v>151</v>
      </c>
      <c r="F46" s="16" t="s">
        <v>371</v>
      </c>
      <c r="G46" s="2">
        <v>1</v>
      </c>
      <c r="H46" s="80"/>
      <c r="I46" s="321">
        <f>VLOOKUP(Table337[[#This Row],[Part Number]],'2023 Pricing Rework'!$B$31:$F$754,5,FALSE)</f>
        <v>24.03</v>
      </c>
      <c r="J46" s="13">
        <f>VLOOKUP(Table337[[#This Row],[Part Number]],'2023 Pricing Rework'!$B$31:$F$754,4,FALSE)</f>
        <v>32.04</v>
      </c>
      <c r="K46" s="13">
        <f>Table337[[#This Row],[Your Price]]*Table337[[#This Row],[Qty]]</f>
        <v>0</v>
      </c>
    </row>
    <row r="47" spans="2:11" ht="14.4" customHeight="1">
      <c r="B47" s="9"/>
      <c r="C47" s="9"/>
      <c r="D47" s="330">
        <v>1312100947</v>
      </c>
      <c r="E47" t="s">
        <v>252</v>
      </c>
      <c r="F47" s="16" t="s">
        <v>371</v>
      </c>
      <c r="G47" s="2">
        <v>1</v>
      </c>
      <c r="H47" s="80"/>
      <c r="I47" s="321">
        <f>VLOOKUP(Table337[[#This Row],[Part Number]],'2023 Pricing Rework'!$B$31:$F$754,5,FALSE)</f>
        <v>24.03</v>
      </c>
      <c r="J47" s="13">
        <f>VLOOKUP(Table337[[#This Row],[Part Number]],'2023 Pricing Rework'!$B$31:$F$754,4,FALSE)</f>
        <v>32.04</v>
      </c>
      <c r="K47" s="13">
        <f>Table337[[#This Row],[Your Price]]*Table337[[#This Row],[Qty]]</f>
        <v>0</v>
      </c>
    </row>
    <row r="48" spans="2:11" ht="14.4" customHeight="1">
      <c r="B48" s="9"/>
      <c r="C48" s="9"/>
      <c r="D48" s="330"/>
      <c r="G48" s="340"/>
      <c r="H48" s="342"/>
      <c r="I48" s="341"/>
      <c r="J48" s="12"/>
      <c r="K48" s="12"/>
    </row>
    <row r="49" spans="2:11" ht="14.4" customHeight="1">
      <c r="B49" s="9"/>
      <c r="C49" s="9"/>
      <c r="D49" s="330"/>
      <c r="G49" s="340"/>
      <c r="H49" s="342"/>
      <c r="I49" s="341"/>
      <c r="J49" s="12"/>
      <c r="K49" s="12"/>
    </row>
    <row r="50" spans="2:11" ht="14.4" customHeight="1">
      <c r="B50" s="9"/>
      <c r="C50" s="9"/>
      <c r="D50" s="330"/>
      <c r="I50" s="12"/>
      <c r="J50" s="12"/>
      <c r="K50" s="12"/>
    </row>
    <row r="51" spans="2:11" ht="14.4" customHeight="1">
      <c r="B51" s="9"/>
      <c r="C51" s="9"/>
      <c r="D51" s="330"/>
      <c r="I51" s="12"/>
      <c r="J51" s="12"/>
      <c r="K51" s="12"/>
    </row>
    <row r="52" spans="2:11" ht="14.4" hidden="1" customHeight="1">
      <c r="B52" s="9"/>
      <c r="C52" s="5" t="s">
        <v>291</v>
      </c>
      <c r="D52" s="330"/>
      <c r="I52" s="12"/>
      <c r="J52" s="12"/>
      <c r="K52" s="12"/>
    </row>
    <row r="53" spans="2:11" ht="14.4" hidden="1" customHeight="1">
      <c r="B53" s="9"/>
      <c r="C53" s="9"/>
      <c r="D53" s="330">
        <v>1312100943</v>
      </c>
      <c r="E53" t="s">
        <v>146</v>
      </c>
      <c r="F53" s="16" t="s">
        <v>254</v>
      </c>
      <c r="G53" s="2">
        <v>1</v>
      </c>
      <c r="H53" s="80"/>
      <c r="I53" s="13" t="e">
        <f>VLOOKUP(Table337[[#This Row],[Part Number]],#REF!,11,FALSE)</f>
        <v>#REF!</v>
      </c>
      <c r="J53" s="13"/>
      <c r="K53" s="13" t="e">
        <f>Table337[[#This Row],[Your Price]]*Table337[[#This Row],[Qty]]</f>
        <v>#REF!</v>
      </c>
    </row>
    <row r="54" spans="2:11" ht="14.4" hidden="1" customHeight="1">
      <c r="B54" s="9"/>
      <c r="C54" s="9"/>
      <c r="D54" s="330">
        <v>1312100944</v>
      </c>
      <c r="E54" t="s">
        <v>149</v>
      </c>
      <c r="F54" s="16" t="s">
        <v>254</v>
      </c>
      <c r="G54" s="2">
        <v>1</v>
      </c>
      <c r="H54" s="80"/>
      <c r="I54" s="13" t="e">
        <f>VLOOKUP(Table337[[#This Row],[Part Number]],#REF!,11,FALSE)</f>
        <v>#REF!</v>
      </c>
      <c r="J54" s="13"/>
      <c r="K54" s="13" t="e">
        <f>Table337[[#This Row],[Your Price]]*Table337[[#This Row],[Qty]]</f>
        <v>#REF!</v>
      </c>
    </row>
    <row r="55" spans="2:11" ht="14.4" hidden="1" customHeight="1">
      <c r="B55" s="9"/>
      <c r="C55" s="9"/>
      <c r="D55" s="330">
        <v>1312100948</v>
      </c>
      <c r="E55" t="s">
        <v>146</v>
      </c>
      <c r="F55" s="17" t="s">
        <v>255</v>
      </c>
      <c r="G55" s="2">
        <v>1</v>
      </c>
      <c r="H55" s="80"/>
      <c r="I55" s="13" t="e">
        <f>VLOOKUP(Table337[[#This Row],[Part Number]],#REF!,11,FALSE)</f>
        <v>#REF!</v>
      </c>
      <c r="J55" s="13"/>
      <c r="K55" s="13" t="e">
        <f>Table337[[#This Row],[Your Price]]*Table337[[#This Row],[Qty]]</f>
        <v>#REF!</v>
      </c>
    </row>
    <row r="56" spans="2:11" ht="14.4" hidden="1" customHeight="1">
      <c r="B56" s="9"/>
      <c r="C56" s="9"/>
      <c r="D56" s="330">
        <v>1312100949</v>
      </c>
      <c r="E56" t="s">
        <v>149</v>
      </c>
      <c r="F56" s="17" t="s">
        <v>255</v>
      </c>
      <c r="G56" s="2">
        <v>1</v>
      </c>
      <c r="H56" s="80"/>
      <c r="I56" s="13" t="e">
        <f>VLOOKUP(Table337[[#This Row],[Part Number]],#REF!,11,FALSE)</f>
        <v>#REF!</v>
      </c>
      <c r="J56" s="13"/>
      <c r="K56" s="13" t="e">
        <f>Table337[[#This Row],[Your Price]]*Table337[[#This Row],[Qty]]</f>
        <v>#REF!</v>
      </c>
    </row>
    <row r="57" spans="2:11" ht="14.4" hidden="1" customHeight="1">
      <c r="B57" s="9"/>
      <c r="D57" s="330"/>
      <c r="I57" s="12"/>
      <c r="J57" s="12"/>
      <c r="K57" s="12"/>
    </row>
    <row r="58" spans="2:11" ht="14.4" customHeight="1">
      <c r="B58" s="9"/>
      <c r="C58" s="5" t="s">
        <v>253</v>
      </c>
      <c r="D58" s="330"/>
      <c r="I58" s="12"/>
      <c r="J58" s="12"/>
      <c r="K58" s="12"/>
    </row>
    <row r="59" spans="2:11" ht="14.4" customHeight="1">
      <c r="B59" s="9"/>
      <c r="C59" s="9"/>
      <c r="D59" s="330">
        <v>1310072290</v>
      </c>
      <c r="E59" t="s">
        <v>259</v>
      </c>
      <c r="G59" s="2">
        <v>1</v>
      </c>
      <c r="H59" s="80"/>
      <c r="I59" s="321">
        <f>VLOOKUP(Table337[[#This Row],[Part Number]],'2023 Pricing Rework'!$B$31:$F$754,5,FALSE)</f>
        <v>30.96</v>
      </c>
      <c r="J59" s="13">
        <f>VLOOKUP(Table337[[#This Row],[Part Number]],'2023 Pricing Rework'!$B$31:$F$754,4,FALSE)</f>
        <v>41.28</v>
      </c>
      <c r="K59" s="13">
        <f>Table337[[#This Row],[Your Price]]*Table337[[#This Row],[Qty]]</f>
        <v>0</v>
      </c>
    </row>
    <row r="60" spans="2:11" ht="14.4" customHeight="1">
      <c r="B60" s="9"/>
      <c r="C60" s="9"/>
      <c r="D60" s="330"/>
      <c r="I60" s="13"/>
      <c r="J60" s="13"/>
      <c r="K60" s="13"/>
    </row>
    <row r="61" spans="2:11" ht="14.4" customHeight="1">
      <c r="B61" s="9"/>
      <c r="C61" s="9"/>
      <c r="D61" s="330"/>
      <c r="I61" s="12"/>
      <c r="J61" s="12"/>
      <c r="K61" s="12"/>
    </row>
    <row r="62" spans="2:11" ht="14.4" hidden="1" customHeight="1">
      <c r="B62" s="9"/>
      <c r="C62" s="9"/>
      <c r="D62" s="330"/>
      <c r="I62" s="12"/>
      <c r="J62" s="12"/>
      <c r="K62" s="12"/>
    </row>
    <row r="63" spans="2:11" ht="24.5" customHeight="1">
      <c r="B63" s="9"/>
      <c r="C63" s="9"/>
      <c r="D63" s="330"/>
      <c r="I63" s="12"/>
      <c r="J63" s="12"/>
      <c r="K63" s="12"/>
    </row>
    <row r="64" spans="2:11" ht="14.4" hidden="1" customHeight="1">
      <c r="B64" s="9"/>
      <c r="C64" s="9"/>
      <c r="D64" s="2">
        <v>1310072293</v>
      </c>
      <c r="E64" t="s">
        <v>60</v>
      </c>
      <c r="F64" s="16" t="s">
        <v>330</v>
      </c>
      <c r="G64" s="2">
        <v>1</v>
      </c>
      <c r="H64" s="80"/>
      <c r="I64" s="13"/>
      <c r="J64" s="13">
        <f>VLOOKUP(Table337[[#This Row],[Part Number]],'2023 Pricing Rework'!$B$31:$F$754,4,FALSE)</f>
        <v>618.61</v>
      </c>
      <c r="K64" s="13"/>
    </row>
    <row r="65" spans="2:11" ht="14.4" hidden="1" customHeight="1">
      <c r="B65" s="9"/>
      <c r="C65" s="9"/>
      <c r="D65" s="2">
        <v>1310072294</v>
      </c>
      <c r="E65" t="s">
        <v>20</v>
      </c>
      <c r="F65" s="16" t="s">
        <v>330</v>
      </c>
      <c r="G65" s="2">
        <v>1</v>
      </c>
      <c r="H65" s="80"/>
      <c r="I65" s="13"/>
      <c r="J65" s="13">
        <f>VLOOKUP(Table337[[#This Row],[Part Number]],'2023 Pricing Rework'!$B$31:$F$754,4,FALSE)</f>
        <v>947.89</v>
      </c>
      <c r="K65" s="13"/>
    </row>
    <row r="66" spans="2:11" ht="14.4" hidden="1" customHeight="1">
      <c r="B66" s="9"/>
      <c r="C66" s="9"/>
      <c r="D66" s="2">
        <v>1310072295</v>
      </c>
      <c r="E66" t="s">
        <v>20</v>
      </c>
      <c r="F66" s="16" t="s">
        <v>331</v>
      </c>
      <c r="G66" s="2">
        <v>1</v>
      </c>
      <c r="H66" s="80"/>
      <c r="I66" s="13"/>
      <c r="J66" s="13">
        <f>VLOOKUP(Table337[[#This Row],[Part Number]],'2023 Pricing Rework'!$B$31:$F$754,4,FALSE)</f>
        <v>604.97</v>
      </c>
      <c r="K66" s="13"/>
    </row>
    <row r="67" spans="2:11" ht="14.4" hidden="1" customHeight="1">
      <c r="B67" s="9"/>
      <c r="C67" s="9"/>
      <c r="D67" s="2">
        <v>1310072373</v>
      </c>
      <c r="E67" t="s">
        <v>60</v>
      </c>
      <c r="F67" s="16" t="s">
        <v>332</v>
      </c>
      <c r="G67" s="2">
        <v>1</v>
      </c>
      <c r="H67" s="80"/>
      <c r="I67" s="13"/>
      <c r="J67" s="13">
        <f>VLOOKUP(Table337[[#This Row],[Part Number]],'2023 Pricing Rework'!$B$31:$F$754,4,FALSE)</f>
        <v>597.54</v>
      </c>
      <c r="K67" s="13"/>
    </row>
    <row r="68" spans="2:11" ht="14.4" hidden="1" customHeight="1">
      <c r="B68" s="9"/>
      <c r="C68" s="9"/>
      <c r="I68" s="13"/>
      <c r="J68" s="13" t="e">
        <f>VLOOKUP(Table337[[#This Row],[Part Number]],'2023 Pricing Rework'!$B$31:$F$754,4,FALSE)</f>
        <v>#N/A</v>
      </c>
      <c r="K68" s="13"/>
    </row>
    <row r="69" spans="2:11" ht="14.4" hidden="1" customHeight="1">
      <c r="B69" s="9"/>
      <c r="C69" s="9"/>
      <c r="I69" s="13"/>
      <c r="J69" s="13" t="e">
        <f>VLOOKUP(Table337[[#This Row],[Part Number]],'2023 Pricing Rework'!$B$31:$F$754,4,FALSE)</f>
        <v>#N/A</v>
      </c>
      <c r="K69" s="13"/>
    </row>
    <row r="70" spans="2:11" ht="14.4" hidden="1" customHeight="1">
      <c r="B70" s="9"/>
      <c r="C70" s="9"/>
      <c r="I70" s="12"/>
      <c r="J70" s="12" t="e">
        <f>VLOOKUP(Table337[[#This Row],[Part Number]],'2023 Pricing Rework'!$B$31:$F$754,4,FALSE)</f>
        <v>#N/A</v>
      </c>
      <c r="K70" s="13"/>
    </row>
    <row r="71" spans="2:11" ht="14.4" hidden="1" customHeight="1">
      <c r="B71" s="9"/>
      <c r="C71" s="9"/>
      <c r="I71" s="12"/>
      <c r="J71" s="12" t="e">
        <f>VLOOKUP(Table337[[#This Row],[Part Number]],'2023 Pricing Rework'!$B$31:$F$754,4,FALSE)</f>
        <v>#N/A</v>
      </c>
      <c r="K71" s="13"/>
    </row>
    <row r="72" spans="2:11" ht="14.4" hidden="1" customHeight="1">
      <c r="B72" s="9"/>
      <c r="C72" s="9"/>
      <c r="I72" s="12"/>
      <c r="J72" s="12" t="e">
        <f>VLOOKUP(Table337[[#This Row],[Part Number]],'2023 Pricing Rework'!$B$31:$F$754,4,FALSE)</f>
        <v>#N/A</v>
      </c>
      <c r="K72" s="13"/>
    </row>
    <row r="73" spans="2:11" ht="14.4" hidden="1" customHeight="1">
      <c r="B73" s="9"/>
      <c r="C73" s="5" t="s">
        <v>256</v>
      </c>
      <c r="I73" s="35"/>
      <c r="J73" s="35" t="e">
        <f>VLOOKUP(Table337[[#This Row],[Part Number]],'2023 Pricing Rework'!$B$31:$F$754,4,FALSE)</f>
        <v>#N/A</v>
      </c>
    </row>
    <row r="74" spans="2:11" ht="14.4" hidden="1" customHeight="1">
      <c r="B74" s="9"/>
      <c r="C74" s="9"/>
      <c r="D74" s="2">
        <v>1310072296</v>
      </c>
      <c r="E74" t="s">
        <v>257</v>
      </c>
      <c r="G74" s="2">
        <v>1</v>
      </c>
      <c r="H74" s="80"/>
      <c r="I74" s="13"/>
      <c r="J74" s="13">
        <f>VLOOKUP(Table337[[#This Row],[Part Number]],'2023 Pricing Rework'!$B$31:$F$754,4,FALSE)</f>
        <v>81.99</v>
      </c>
      <c r="K74" s="13"/>
    </row>
    <row r="75" spans="2:11" ht="14.5" hidden="1" customHeight="1">
      <c r="B75" s="9"/>
      <c r="C75" s="9"/>
      <c r="D75" s="2">
        <v>1310072297</v>
      </c>
      <c r="E75" t="s">
        <v>258</v>
      </c>
      <c r="G75" s="2">
        <v>1</v>
      </c>
      <c r="H75" s="80"/>
      <c r="I75" s="13"/>
      <c r="J75" s="13">
        <f>VLOOKUP(Table337[[#This Row],[Part Number]],'2023 Pricing Rework'!$B$31:$F$754,4,FALSE)</f>
        <v>177.12</v>
      </c>
      <c r="K75" s="13"/>
    </row>
    <row r="76" spans="2:11" ht="14.4" hidden="1" customHeight="1">
      <c r="B76" s="9"/>
      <c r="C76" s="9"/>
      <c r="I76" s="12"/>
      <c r="J76" s="12" t="e">
        <f>VLOOKUP(Table337[[#This Row],[Part Number]],'2023 Pricing Rework'!$B$31:$F$754,4,FALSE)</f>
        <v>#N/A</v>
      </c>
      <c r="K76" s="12"/>
    </row>
    <row r="77" spans="2:11" ht="14.4" hidden="1" customHeight="1">
      <c r="B77" s="9"/>
      <c r="C77" s="9"/>
      <c r="I77" s="12"/>
      <c r="J77" s="12" t="e">
        <f>VLOOKUP(Table337[[#This Row],[Part Number]],'2023 Pricing Rework'!$B$31:$F$754,4,FALSE)</f>
        <v>#N/A</v>
      </c>
      <c r="K77" s="12"/>
    </row>
    <row r="78" spans="2:11" ht="14.4" hidden="1" customHeight="1">
      <c r="C78" s="9"/>
    </row>
  </sheetData>
  <sheetProtection algorithmName="SHA-512" hashValue="m5wycOQl33rouUoVEUlw4qX2c7rEW7CPV+h0sUcfDhVn2kR5CEaBZBCNxPaScLPN5zdRAJHyamlrpWXRpR6G2g==" saltValue="kq5i3QnxgpC6IkjIfh7REA==" spinCount="100000" sheet="1" selectLockedCells="1"/>
  <mergeCells count="2">
    <mergeCell ref="D1:G1"/>
    <mergeCell ref="B4:C11"/>
  </mergeCells>
  <pageMargins left="0.7" right="0.7" top="0.75" bottom="0.75" header="0.3" footer="0.3"/>
  <pageSetup orientation="portrait" r:id="rId1"/>
  <ignoredErrors>
    <ignoredError sqref="K63 K69 K23:K27 K4:K21 K29:K34 K50:K61 K42:K47" calculatedColumn="1"/>
  </ignoredErrors>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5"/>
  </sheetPr>
  <dimension ref="A1:K23"/>
  <sheetViews>
    <sheetView showGridLines="0" showRowColHeader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0" customHeight="1" zeroHeight="1"/>
  <cols>
    <col min="1" max="1" width="0.90625" customWidth="1"/>
    <col min="2" max="3" width="25.81640625" style="1" customWidth="1"/>
    <col min="4" max="4" width="14.81640625" style="2" customWidth="1"/>
    <col min="5" max="5" width="20.81640625" customWidth="1"/>
    <col min="6" max="6" width="28.81640625" style="16" customWidth="1"/>
    <col min="7" max="7" width="9.81640625" style="2" customWidth="1"/>
    <col min="8" max="8" width="11.81640625" style="7" customWidth="1"/>
    <col min="9" max="10" width="11.81640625" style="8" customWidth="1"/>
    <col min="11" max="11" width="13.81640625" style="8" customWidth="1"/>
    <col min="12" max="16384" width="8.90625" hidden="1"/>
  </cols>
  <sheetData>
    <row r="1" spans="1:11" ht="54" customHeight="1">
      <c r="A1" s="133"/>
      <c r="B1" s="136"/>
      <c r="C1" s="135"/>
      <c r="D1" s="367" t="s">
        <v>62</v>
      </c>
      <c r="E1" s="367"/>
      <c r="F1" s="367"/>
      <c r="G1" s="367"/>
      <c r="H1" s="22" t="s">
        <v>283</v>
      </c>
    </row>
    <row r="2" spans="1:11" ht="18.5">
      <c r="A2" s="61"/>
      <c r="B2" s="3" t="s">
        <v>62</v>
      </c>
      <c r="C2" s="3" t="s">
        <v>14</v>
      </c>
      <c r="D2" s="4" t="s">
        <v>304</v>
      </c>
      <c r="E2" s="4" t="s">
        <v>347</v>
      </c>
      <c r="F2" s="129" t="s">
        <v>89</v>
      </c>
      <c r="G2" s="60" t="s">
        <v>53</v>
      </c>
      <c r="H2" s="26" t="s">
        <v>207</v>
      </c>
      <c r="I2" s="324" t="s">
        <v>1824</v>
      </c>
      <c r="J2" s="20" t="s">
        <v>1823</v>
      </c>
      <c r="K2" s="20" t="s">
        <v>266</v>
      </c>
    </row>
    <row r="3" spans="1:11" ht="14.4" hidden="1" customHeight="1">
      <c r="D3" s="2">
        <v>2810106610</v>
      </c>
      <c r="F3" s="16" t="s">
        <v>364</v>
      </c>
      <c r="G3" s="2">
        <v>10</v>
      </c>
      <c r="H3" s="151"/>
      <c r="I3" s="13" t="e">
        <f>VLOOKUP(D3,#REF!,5,FALSE)</f>
        <v>#REF!</v>
      </c>
      <c r="J3" s="13" t="e">
        <f>VLOOKUP(Table33713[[#This Row],[Part Number]],'2023 Pricing Rework'!$B$31:$F$754,4,FALSE)</f>
        <v>#N/A</v>
      </c>
      <c r="K3" s="13" t="e">
        <f>Table33713[[#This Row],[Your Price]]*Table33713[[#This Row],[Qty]]</f>
        <v>#REF!</v>
      </c>
    </row>
    <row r="4" spans="1:11" ht="14.4" customHeight="1">
      <c r="D4" s="330">
        <v>2811206510</v>
      </c>
      <c r="E4" t="s">
        <v>3</v>
      </c>
      <c r="F4" s="16" t="s">
        <v>387</v>
      </c>
      <c r="G4" s="179">
        <v>10</v>
      </c>
      <c r="H4" s="151"/>
      <c r="I4" s="321">
        <f>VLOOKUP(Table33713[[#This Row],[Part Number]],'2023 Pricing Rework'!$B$31:$F$754,5,FALSE)</f>
        <v>32.43</v>
      </c>
      <c r="J4" s="12">
        <f>VLOOKUP(Table33713[[#This Row],[Part Number]],'2023 Pricing Rework'!$B$31:$F$754,4,FALSE)</f>
        <v>43.239999999999995</v>
      </c>
      <c r="K4" s="13">
        <f>Table33713[[#This Row],[Your Price]]*Table33713[[#This Row],[Qty]]</f>
        <v>0</v>
      </c>
    </row>
    <row r="5" spans="1:11" ht="14.4" customHeight="1">
      <c r="D5" s="330">
        <v>2811406510</v>
      </c>
      <c r="E5" t="s">
        <v>389</v>
      </c>
      <c r="F5" s="16" t="s">
        <v>387</v>
      </c>
      <c r="G5" s="179">
        <v>10</v>
      </c>
      <c r="H5" s="151"/>
      <c r="I5" s="321">
        <f>VLOOKUP(Table33713[[#This Row],[Part Number]],'2023 Pricing Rework'!$B$31:$F$754,5,FALSE)</f>
        <v>25.59</v>
      </c>
      <c r="J5" s="12">
        <f>VLOOKUP(Table33713[[#This Row],[Part Number]],'2023 Pricing Rework'!$B$31:$F$754,4,FALSE)</f>
        <v>34.119999999999997</v>
      </c>
      <c r="K5" s="13">
        <f>Table33713[[#This Row],[Your Price]]*Table33713[[#This Row],[Qty]]</f>
        <v>0</v>
      </c>
    </row>
    <row r="6" spans="1:11" ht="14.4" hidden="1" customHeight="1">
      <c r="D6" s="2">
        <v>2811606510</v>
      </c>
      <c r="E6" t="s">
        <v>390</v>
      </c>
      <c r="F6" s="16" t="s">
        <v>388</v>
      </c>
      <c r="G6" s="180">
        <v>10</v>
      </c>
      <c r="H6" s="151"/>
      <c r="I6" s="321">
        <f>VLOOKUP(Table33713[[#This Row],[Part Number]],'2023 Pricing Rework'!$B$31:$F$754,5,FALSE)</f>
        <v>13</v>
      </c>
      <c r="J6" s="12">
        <f>VLOOKUP(Table33713[[#This Row],[Part Number]],'2023 Pricing Rework'!$B$31:$F$754,4,FALSE)</f>
        <v>17.330000000000002</v>
      </c>
      <c r="K6" s="13">
        <f>Table33713[[#This Row],[Your Price]]*Table33713[[#This Row],[Qty]]</f>
        <v>0</v>
      </c>
    </row>
    <row r="7" spans="1:11" ht="14.4" customHeight="1">
      <c r="C7" s="9"/>
      <c r="E7" s="1"/>
      <c r="F7" s="17"/>
      <c r="G7" s="19"/>
      <c r="I7" s="12"/>
      <c r="J7" s="12"/>
      <c r="K7" s="7"/>
    </row>
    <row r="8" spans="1:11" ht="14.5" hidden="1">
      <c r="D8" s="2">
        <v>2810806010</v>
      </c>
      <c r="E8" t="s">
        <v>362</v>
      </c>
      <c r="F8" s="127" t="s">
        <v>363</v>
      </c>
      <c r="G8" s="59">
        <v>10</v>
      </c>
      <c r="H8" s="151"/>
      <c r="I8" s="13" t="e">
        <f>VLOOKUP(Table33713[[#This Row],[Part Number]],#REF!,11,FALSE)</f>
        <v>#REF!</v>
      </c>
      <c r="J8" s="13"/>
      <c r="K8" s="13" t="e">
        <f>Table33713[[#This Row],[Your Price]]*Table33713[[#This Row],[Qty]]</f>
        <v>#REF!</v>
      </c>
    </row>
    <row r="9" spans="1:11" ht="14.4" customHeight="1">
      <c r="I9" s="12"/>
      <c r="J9" s="12"/>
      <c r="K9" s="7"/>
    </row>
    <row r="10" spans="1:11" ht="14.4" customHeight="1">
      <c r="I10" s="12"/>
      <c r="J10" s="12"/>
      <c r="K10" s="7"/>
    </row>
    <row r="11" spans="1:11" ht="14.4" hidden="1" customHeight="1">
      <c r="I11" s="12"/>
      <c r="J11" s="12"/>
      <c r="K11" s="7"/>
    </row>
    <row r="12" spans="1:11" ht="14.4" hidden="1" customHeight="1">
      <c r="I12" s="12"/>
      <c r="J12" s="12"/>
      <c r="K12" s="7"/>
    </row>
    <row r="13" spans="1:11" ht="14.4" hidden="1" customHeight="1">
      <c r="C13" s="5" t="s">
        <v>220</v>
      </c>
      <c r="F13" s="17"/>
      <c r="G13" s="19"/>
      <c r="I13" s="12"/>
      <c r="J13" s="12"/>
      <c r="K13" s="7"/>
    </row>
    <row r="14" spans="1:11" ht="14.4" hidden="1" customHeight="1">
      <c r="D14" s="2">
        <v>2810826505</v>
      </c>
      <c r="E14" t="s">
        <v>96</v>
      </c>
      <c r="F14" s="17"/>
      <c r="G14" s="2">
        <v>5</v>
      </c>
      <c r="H14" s="151"/>
      <c r="I14" s="13" t="e">
        <f>VLOOKUP(Table33713[[#This Row],[Part Number]],#REF!,11,FALSE)</f>
        <v>#REF!</v>
      </c>
      <c r="J14" s="13"/>
      <c r="K14" s="13" t="e">
        <f>Table33713[[#This Row],[Your Price]]*Table33713[[#This Row],[Qty]]</f>
        <v>#REF!</v>
      </c>
    </row>
    <row r="15" spans="1:11" ht="14.4" hidden="1" customHeight="1">
      <c r="D15" s="2">
        <v>2810816505</v>
      </c>
      <c r="E15" t="s">
        <v>96</v>
      </c>
      <c r="F15" s="16" t="s">
        <v>299</v>
      </c>
      <c r="G15" s="2">
        <v>5</v>
      </c>
      <c r="H15" s="151"/>
      <c r="I15" s="13" t="e">
        <f>VLOOKUP(Table33713[[#This Row],[Part Number]],#REF!,11,FALSE)</f>
        <v>#REF!</v>
      </c>
      <c r="J15" s="13"/>
      <c r="K15" s="13" t="e">
        <f>Table33713[[#This Row],[Your Price]]*Table33713[[#This Row],[Qty]]</f>
        <v>#REF!</v>
      </c>
    </row>
    <row r="16" spans="1:11" ht="14.4" hidden="1" customHeight="1">
      <c r="C16" s="9"/>
      <c r="I16" s="12"/>
      <c r="J16" s="12"/>
      <c r="K16" s="7"/>
    </row>
    <row r="17" spans="9:11" ht="14.4" hidden="1" customHeight="1">
      <c r="I17" s="12"/>
      <c r="J17" s="12"/>
      <c r="K17" s="7"/>
    </row>
    <row r="18" spans="9:11" ht="14.4" hidden="1" customHeight="1">
      <c r="I18" s="12"/>
      <c r="J18" s="12"/>
      <c r="K18" s="7"/>
    </row>
    <row r="19" spans="9:11" ht="14.4" hidden="1" customHeight="1">
      <c r="I19" s="12"/>
      <c r="J19" s="12"/>
      <c r="K19" s="7"/>
    </row>
    <row r="20" spans="9:11" ht="14.4" hidden="1" customHeight="1"/>
    <row r="21" spans="9:11" ht="14.4" hidden="1" customHeight="1"/>
    <row r="22" spans="9:11" ht="14.4" hidden="1" customHeight="1"/>
    <row r="23" spans="9:11" ht="14.4" hidden="1" customHeight="1"/>
  </sheetData>
  <sheetProtection algorithmName="SHA-512" hashValue="s944yvk5WRM8ixgX1wZWoB1o7334bnP5KB8Eiqm3tphdKq88ZntHhXQ/NWfsRUl/YiDxDt93tg0BC/9qT2PA+g==" saltValue="oX+5SpKtuM1t9sk4Uvmw1w==" spinCount="100000" sheet="1" objects="1" scenarios="1" selectLockedCells="1"/>
  <mergeCells count="1">
    <mergeCell ref="D1:G1"/>
  </mergeCells>
  <pageMargins left="0.7" right="0.7" top="0.75" bottom="0.75" header="0.3" footer="0.3"/>
  <pageSetup orientation="portrait" r:id="rId1"/>
  <ignoredErrors>
    <ignoredError sqref="K6:K15 K3:K5" calculatedColumn="1"/>
  </ignoredErrors>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B837A-72AD-4AF6-B851-E119BEA39064}">
  <sheetPr codeName="Sheet12">
    <tabColor theme="5"/>
  </sheetPr>
  <dimension ref="A1:Q35"/>
  <sheetViews>
    <sheetView showGridLines="0" showRowColHeaders="0" zoomScaleNormal="100" workbookViewId="0">
      <selection activeCell="Q13" sqref="Q13"/>
    </sheetView>
  </sheetViews>
  <sheetFormatPr defaultRowHeight="14.5"/>
  <cols>
    <col min="1" max="1" width="1" customWidth="1"/>
  </cols>
  <sheetData>
    <row r="1" spans="1:17" ht="31.5" customHeight="1">
      <c r="A1" s="382" t="s">
        <v>420</v>
      </c>
      <c r="B1" s="382"/>
      <c r="C1" s="382"/>
      <c r="D1" s="382"/>
      <c r="E1" s="382"/>
      <c r="F1" s="382"/>
      <c r="G1" s="382"/>
      <c r="H1" s="382"/>
      <c r="I1" s="382"/>
      <c r="J1" s="382"/>
      <c r="K1" s="382"/>
      <c r="L1" s="382"/>
      <c r="M1" s="382"/>
      <c r="N1" s="382"/>
      <c r="O1" s="382"/>
      <c r="P1" s="382"/>
    </row>
    <row r="2" spans="1:17">
      <c r="A2" s="382"/>
      <c r="B2" s="382"/>
      <c r="C2" s="382"/>
      <c r="D2" s="382"/>
      <c r="E2" s="382"/>
      <c r="F2" s="382"/>
      <c r="G2" s="382"/>
      <c r="H2" s="382"/>
      <c r="I2" s="382"/>
      <c r="J2" s="382"/>
      <c r="K2" s="382"/>
      <c r="L2" s="382"/>
      <c r="M2" s="382"/>
      <c r="N2" s="382"/>
      <c r="O2" s="382"/>
      <c r="P2" s="382"/>
    </row>
    <row r="3" spans="1:17" ht="20" customHeight="1">
      <c r="A3" s="382"/>
      <c r="B3" s="382"/>
      <c r="C3" s="382"/>
      <c r="D3" s="382"/>
      <c r="E3" s="382"/>
      <c r="F3" s="382"/>
      <c r="G3" s="382"/>
      <c r="H3" s="382"/>
      <c r="I3" s="382"/>
      <c r="J3" s="382"/>
      <c r="K3" s="382"/>
      <c r="L3" s="382"/>
      <c r="M3" s="382"/>
      <c r="N3" s="382"/>
      <c r="O3" s="382"/>
      <c r="P3" s="382"/>
    </row>
    <row r="9" spans="1:17">
      <c r="Q9" s="310"/>
    </row>
    <row r="32" spans="1:16">
      <c r="A32" s="382" t="s">
        <v>421</v>
      </c>
      <c r="B32" s="382"/>
      <c r="C32" s="382"/>
      <c r="D32" s="382"/>
      <c r="E32" s="382"/>
      <c r="F32" s="382"/>
      <c r="G32" s="382"/>
      <c r="H32" s="382"/>
      <c r="I32" s="382"/>
      <c r="J32" s="382"/>
      <c r="K32" s="382"/>
      <c r="L32" s="382"/>
      <c r="M32" s="382"/>
      <c r="N32" s="382"/>
      <c r="O32" s="382"/>
      <c r="P32" s="382"/>
    </row>
    <row r="33" spans="1:16">
      <c r="A33" s="382"/>
      <c r="B33" s="382"/>
      <c r="C33" s="382"/>
      <c r="D33" s="382"/>
      <c r="E33" s="382"/>
      <c r="F33" s="382"/>
      <c r="G33" s="382"/>
      <c r="H33" s="382"/>
      <c r="I33" s="382"/>
      <c r="J33" s="382"/>
      <c r="K33" s="382"/>
      <c r="L33" s="382"/>
      <c r="M33" s="382"/>
      <c r="N33" s="382"/>
      <c r="O33" s="382"/>
      <c r="P33" s="382"/>
    </row>
    <row r="34" spans="1:16">
      <c r="A34" s="382"/>
      <c r="B34" s="382"/>
      <c r="C34" s="382"/>
      <c r="D34" s="382"/>
      <c r="E34" s="382"/>
      <c r="F34" s="382"/>
      <c r="G34" s="382"/>
      <c r="H34" s="382"/>
      <c r="I34" s="382"/>
      <c r="J34" s="382"/>
      <c r="K34" s="382"/>
      <c r="L34" s="382"/>
      <c r="M34" s="382"/>
      <c r="N34" s="382"/>
      <c r="O34" s="382"/>
      <c r="P34" s="382"/>
    </row>
    <row r="35" spans="1:16">
      <c r="A35" s="382"/>
      <c r="B35" s="382"/>
      <c r="C35" s="382"/>
      <c r="D35" s="382"/>
      <c r="E35" s="382"/>
      <c r="F35" s="382"/>
      <c r="G35" s="382"/>
      <c r="H35" s="382"/>
      <c r="I35" s="382"/>
      <c r="J35" s="382"/>
      <c r="K35" s="382"/>
      <c r="L35" s="382"/>
      <c r="M35" s="382"/>
      <c r="N35" s="382"/>
      <c r="O35" s="382"/>
      <c r="P35" s="382"/>
    </row>
  </sheetData>
  <sheetProtection algorithmName="SHA-512" hashValue="JIAB3jOIR7W8DbXTKJhBemkfC5GtOO4bkA0cOlBrJDQPLmUtrwx3hlf3N5a1rn1ohy9FIGSIGmBYVoPE3pq1Tg==" saltValue="JIJmUhqt+20A+VNjvkUlHg==" spinCount="100000" sheet="1" objects="1" scenarios="1" selectLockedCells="1" selectUnlockedCells="1"/>
  <mergeCells count="2">
    <mergeCell ref="A1:P3"/>
    <mergeCell ref="A32:P3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00E5D-5E8E-47B2-8178-63E19B7ECA36}">
  <sheetPr codeName="Sheet11">
    <tabColor theme="5"/>
  </sheetPr>
  <dimension ref="A1:N40"/>
  <sheetViews>
    <sheetView showGridLines="0" showRowColHeaders="0" topLeftCell="L1" workbookViewId="0">
      <selection activeCell="L1" sqref="L1:M1"/>
    </sheetView>
  </sheetViews>
  <sheetFormatPr defaultColWidth="0" defaultRowHeight="14.5" zeroHeight="1"/>
  <cols>
    <col min="1" max="1" width="15.26953125" hidden="1" customWidth="1"/>
    <col min="2" max="2" width="67.26953125" hidden="1" customWidth="1"/>
    <col min="3" max="3" width="21.36328125" hidden="1" customWidth="1"/>
    <col min="4" max="4" width="52.81640625" hidden="1" customWidth="1"/>
    <col min="5" max="5" width="8.7265625" hidden="1" customWidth="1"/>
    <col min="6" max="6" width="11.453125" hidden="1" customWidth="1"/>
    <col min="7" max="7" width="8.7265625" hidden="1" customWidth="1"/>
    <col min="8" max="8" width="10.1796875" hidden="1" customWidth="1"/>
    <col min="9" max="9" width="8.7265625" hidden="1" customWidth="1"/>
    <col min="10" max="10" width="11.90625" hidden="1" customWidth="1"/>
    <col min="11" max="11" width="8.7265625" hidden="1" customWidth="1"/>
    <col min="12" max="12" width="2.81640625" customWidth="1"/>
    <col min="13" max="13" width="105.453125" bestFit="1" customWidth="1"/>
    <col min="14" max="14" width="71.7265625" hidden="1" customWidth="1"/>
    <col min="15" max="16384" width="8.7265625" hidden="1"/>
  </cols>
  <sheetData>
    <row r="1" spans="1:13" ht="131" customHeight="1">
      <c r="A1" t="s">
        <v>429</v>
      </c>
      <c r="B1" t="s">
        <v>1</v>
      </c>
      <c r="C1" t="s">
        <v>439</v>
      </c>
      <c r="D1" t="s">
        <v>438</v>
      </c>
      <c r="L1" s="384" t="s">
        <v>1779</v>
      </c>
      <c r="M1" s="385"/>
    </row>
    <row r="2" spans="1:13" ht="9" customHeight="1">
      <c r="A2" t="s">
        <v>434</v>
      </c>
      <c r="B2" t="s">
        <v>432</v>
      </c>
      <c r="C2" t="s">
        <v>440</v>
      </c>
      <c r="D2" t="s">
        <v>437</v>
      </c>
      <c r="E2" s="383" t="s">
        <v>31</v>
      </c>
      <c r="F2" s="383"/>
      <c r="G2" s="383" t="s">
        <v>414</v>
      </c>
      <c r="H2" s="383"/>
      <c r="I2" s="383" t="s">
        <v>450</v>
      </c>
      <c r="J2" s="383"/>
      <c r="L2" s="240"/>
      <c r="M2" s="170"/>
    </row>
    <row r="3" spans="1:13" ht="25">
      <c r="L3" s="240"/>
      <c r="M3" s="242" t="s">
        <v>1770</v>
      </c>
    </row>
    <row r="4" spans="1:13" ht="25">
      <c r="A4" t="s">
        <v>449</v>
      </c>
      <c r="B4" t="s">
        <v>431</v>
      </c>
      <c r="C4" t="s">
        <v>441</v>
      </c>
      <c r="D4" t="s">
        <v>436</v>
      </c>
      <c r="L4" s="240"/>
      <c r="M4" s="242" t="s">
        <v>1771</v>
      </c>
    </row>
    <row r="5" spans="1:13" ht="25">
      <c r="L5" s="240"/>
      <c r="M5" s="242" t="s">
        <v>1772</v>
      </c>
    </row>
    <row r="6" spans="1:13" ht="6.5" customHeight="1">
      <c r="A6" t="s">
        <v>430</v>
      </c>
      <c r="B6" t="s">
        <v>433</v>
      </c>
      <c r="C6" t="s">
        <v>442</v>
      </c>
      <c r="D6" s="161" t="s">
        <v>435</v>
      </c>
      <c r="L6" s="240"/>
      <c r="M6" s="242"/>
    </row>
    <row r="7" spans="1:13" ht="25">
      <c r="L7" s="240"/>
      <c r="M7" s="243" t="s">
        <v>1774</v>
      </c>
    </row>
    <row r="8" spans="1:13" ht="25">
      <c r="L8" s="240"/>
      <c r="M8" s="243" t="s">
        <v>1769</v>
      </c>
    </row>
    <row r="9" spans="1:13" ht="25">
      <c r="L9" s="240"/>
      <c r="M9" s="243" t="s">
        <v>1773</v>
      </c>
    </row>
    <row r="10" spans="1:13" ht="25">
      <c r="L10" s="240"/>
      <c r="M10" s="243" t="s">
        <v>1768</v>
      </c>
    </row>
    <row r="34" spans="2:2" ht="18" hidden="1">
      <c r="B34" s="171"/>
    </row>
    <row r="35" spans="2:2" ht="18" hidden="1">
      <c r="B35" s="171"/>
    </row>
    <row r="36" spans="2:2" ht="18" hidden="1">
      <c r="B36" s="171"/>
    </row>
    <row r="38" spans="2:2" ht="22" hidden="1">
      <c r="B38" s="170" t="s">
        <v>486</v>
      </c>
    </row>
    <row r="39" spans="2:2" ht="22" hidden="1">
      <c r="B39" s="170" t="s">
        <v>1758</v>
      </c>
    </row>
    <row r="40" spans="2:2" ht="22" hidden="1">
      <c r="B40" s="170" t="s">
        <v>1759</v>
      </c>
    </row>
  </sheetData>
  <sheetProtection algorithmName="SHA-512" hashValue="TqbVmATuBs5C7j14k9BES6YFQijKgJNJdFWVUw1BYeTQRqHf0sqiTE1VgENWWIG/4SwXlzMxbJZoKxR1cPvBrw==" saltValue="vWfljNATUhbnsyVIsqjB0A==" spinCount="100000" sheet="1" objects="1" scenarios="1" selectLockedCells="1" selectUnlockedCells="1"/>
  <mergeCells count="4">
    <mergeCell ref="E2:F2"/>
    <mergeCell ref="G2:H2"/>
    <mergeCell ref="I2:J2"/>
    <mergeCell ref="L1:M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5"/>
  </sheetPr>
  <dimension ref="A1:M29"/>
  <sheetViews>
    <sheetView showGridLines="0" showRowColHeaders="0" workbookViewId="0"/>
  </sheetViews>
  <sheetFormatPr defaultColWidth="0" defaultRowHeight="14.5" zeroHeight="1"/>
  <cols>
    <col min="1" max="13" width="8.90625" customWidth="1"/>
    <col min="14" max="16384" width="8.90625" hidden="1"/>
  </cols>
  <sheetData>
    <row r="1" spans="1:13" ht="18.5">
      <c r="A1" s="133"/>
      <c r="B1" s="133"/>
      <c r="C1" s="133"/>
      <c r="D1" s="133"/>
      <c r="E1" s="133"/>
      <c r="F1" s="139"/>
      <c r="G1" s="133"/>
      <c r="H1" s="133"/>
      <c r="I1" s="133"/>
      <c r="J1" s="133"/>
      <c r="K1" s="133"/>
      <c r="L1" s="133"/>
      <c r="M1" s="133"/>
    </row>
    <row r="2" spans="1:13">
      <c r="A2" s="133"/>
      <c r="B2" s="133"/>
      <c r="C2" s="133"/>
      <c r="D2" s="133"/>
      <c r="E2" s="133"/>
      <c r="F2" s="133"/>
      <c r="G2" s="133"/>
      <c r="H2" s="133"/>
      <c r="I2" s="133"/>
      <c r="J2" s="133"/>
      <c r="K2" s="133"/>
      <c r="L2" s="133"/>
      <c r="M2" s="133"/>
    </row>
    <row r="3" spans="1:13">
      <c r="A3" s="133"/>
      <c r="B3" s="133"/>
      <c r="C3" s="133"/>
      <c r="D3" s="133"/>
      <c r="E3" s="133"/>
      <c r="F3" s="133"/>
      <c r="G3" s="133"/>
      <c r="H3" s="133"/>
      <c r="I3" s="133"/>
      <c r="J3" s="133"/>
      <c r="K3" s="133"/>
      <c r="L3" s="133"/>
      <c r="M3" s="133"/>
    </row>
    <row r="4" spans="1:13">
      <c r="A4" s="133"/>
      <c r="B4" s="133"/>
      <c r="C4" s="133"/>
      <c r="D4" s="133"/>
      <c r="E4" s="133"/>
      <c r="F4" s="133"/>
      <c r="G4" s="133"/>
      <c r="H4" s="133"/>
      <c r="I4" s="133"/>
      <c r="J4" s="133"/>
      <c r="K4" s="133"/>
      <c r="L4" s="133"/>
      <c r="M4" s="133"/>
    </row>
    <row r="5" spans="1:13">
      <c r="A5" s="133"/>
      <c r="B5" s="133"/>
      <c r="C5" s="133"/>
      <c r="D5" s="133"/>
      <c r="E5" s="133"/>
      <c r="F5" s="133"/>
      <c r="G5" s="133"/>
      <c r="H5" s="133"/>
      <c r="I5" s="133"/>
      <c r="J5" s="133"/>
      <c r="K5" s="133"/>
      <c r="L5" s="133"/>
      <c r="M5" s="133"/>
    </row>
    <row r="6" spans="1:13">
      <c r="A6" s="133"/>
      <c r="B6" s="133"/>
      <c r="C6" s="133"/>
      <c r="D6" s="133"/>
      <c r="E6" s="133"/>
      <c r="F6" s="133"/>
      <c r="G6" s="133"/>
      <c r="H6" s="133"/>
      <c r="I6" s="133"/>
      <c r="J6" s="133"/>
      <c r="K6" s="133"/>
      <c r="L6" s="133"/>
      <c r="M6" s="133"/>
    </row>
    <row r="7" spans="1:13">
      <c r="A7" s="133"/>
      <c r="B7" s="133"/>
      <c r="C7" s="133"/>
      <c r="D7" s="133"/>
      <c r="E7" s="133"/>
      <c r="F7" s="133"/>
      <c r="G7" s="133"/>
      <c r="H7" s="133"/>
      <c r="I7" s="133"/>
      <c r="J7" s="133"/>
      <c r="K7" s="133"/>
      <c r="L7" s="133"/>
      <c r="M7" s="133"/>
    </row>
    <row r="8" spans="1:13">
      <c r="A8" s="133"/>
      <c r="B8" s="133"/>
      <c r="C8" s="133"/>
      <c r="D8" s="133"/>
      <c r="E8" s="133"/>
      <c r="F8" s="133"/>
      <c r="G8" s="133"/>
      <c r="H8" s="133"/>
      <c r="I8" s="133"/>
      <c r="J8" s="133"/>
      <c r="K8" s="133"/>
      <c r="L8" s="133"/>
      <c r="M8" s="133"/>
    </row>
    <row r="9" spans="1:13">
      <c r="A9" s="133"/>
      <c r="B9" s="133"/>
      <c r="C9" s="133"/>
      <c r="D9" s="133"/>
      <c r="E9" s="133"/>
      <c r="F9" s="133"/>
      <c r="G9" s="133"/>
      <c r="H9" s="133"/>
      <c r="I9" s="133"/>
      <c r="J9" s="133"/>
      <c r="K9" s="133"/>
      <c r="L9" s="133"/>
      <c r="M9" s="133"/>
    </row>
    <row r="10" spans="1:13">
      <c r="A10" s="133"/>
      <c r="B10" s="133"/>
      <c r="C10" s="133"/>
      <c r="D10" s="133"/>
      <c r="E10" s="133"/>
      <c r="F10" s="133"/>
      <c r="G10" s="133"/>
      <c r="H10" s="133"/>
      <c r="I10" s="133"/>
      <c r="J10" s="133"/>
      <c r="K10" s="133"/>
      <c r="L10" s="133"/>
      <c r="M10" s="133"/>
    </row>
    <row r="11" spans="1:13">
      <c r="A11" s="133"/>
      <c r="B11" s="133"/>
      <c r="C11" s="133"/>
      <c r="D11" s="133"/>
      <c r="E11" s="133"/>
      <c r="F11" s="133"/>
      <c r="G11" s="133"/>
      <c r="H11" s="133"/>
      <c r="I11" s="133"/>
      <c r="J11" s="133"/>
      <c r="K11" s="133"/>
      <c r="L11" s="133"/>
      <c r="M11" s="133"/>
    </row>
    <row r="12" spans="1:13">
      <c r="A12" s="133"/>
      <c r="B12" s="133"/>
      <c r="C12" s="133"/>
      <c r="D12" s="133"/>
      <c r="E12" s="133"/>
      <c r="F12" s="133"/>
      <c r="G12" s="133"/>
      <c r="H12" s="133"/>
      <c r="I12" s="133"/>
      <c r="J12" s="133"/>
      <c r="K12" s="133"/>
      <c r="L12" s="133"/>
      <c r="M12" s="133"/>
    </row>
    <row r="13" spans="1:13">
      <c r="A13" s="133"/>
      <c r="B13" s="133"/>
      <c r="C13" s="133"/>
      <c r="D13" s="133"/>
      <c r="E13" s="133"/>
      <c r="F13" s="133"/>
      <c r="G13" s="133"/>
      <c r="H13" s="133"/>
      <c r="I13" s="133"/>
      <c r="J13" s="133"/>
      <c r="K13" s="133"/>
      <c r="L13" s="133"/>
      <c r="M13" s="133"/>
    </row>
    <row r="14" spans="1:13">
      <c r="A14" s="133"/>
      <c r="B14" s="133"/>
      <c r="C14" s="133"/>
      <c r="D14" s="133"/>
      <c r="E14" s="133"/>
      <c r="F14" s="133"/>
      <c r="G14" s="133"/>
      <c r="H14" s="133"/>
      <c r="I14" s="133"/>
      <c r="J14" s="133"/>
      <c r="K14" s="133"/>
      <c r="L14" s="133"/>
      <c r="M14" s="133"/>
    </row>
    <row r="15" spans="1:13">
      <c r="A15" s="133"/>
      <c r="B15" s="133"/>
      <c r="C15" s="133"/>
      <c r="D15" s="133"/>
      <c r="E15" s="133"/>
      <c r="F15" s="133"/>
      <c r="G15" s="133"/>
      <c r="H15" s="133"/>
      <c r="I15" s="133"/>
      <c r="J15" s="133"/>
      <c r="K15" s="133"/>
      <c r="L15" s="133"/>
      <c r="M15" s="133"/>
    </row>
    <row r="16" spans="1:13">
      <c r="A16" s="133"/>
      <c r="B16" s="133"/>
      <c r="C16" s="133"/>
      <c r="D16" s="133"/>
      <c r="E16" s="133"/>
      <c r="F16" s="133"/>
      <c r="G16" s="133"/>
      <c r="H16" s="133"/>
      <c r="I16" s="133"/>
      <c r="J16" s="133"/>
      <c r="K16" s="133"/>
      <c r="L16" s="133"/>
      <c r="M16" s="133"/>
    </row>
    <row r="17" spans="1:13">
      <c r="A17" s="133"/>
      <c r="B17" s="133"/>
      <c r="C17" s="133"/>
      <c r="D17" s="133"/>
      <c r="E17" s="133"/>
      <c r="F17" s="133"/>
      <c r="G17" s="133"/>
      <c r="H17" s="133"/>
      <c r="I17" s="133"/>
      <c r="J17" s="133"/>
      <c r="K17" s="133"/>
      <c r="L17" s="133"/>
      <c r="M17" s="133"/>
    </row>
    <row r="18" spans="1:13">
      <c r="A18" s="133"/>
      <c r="B18" s="133"/>
      <c r="C18" s="133"/>
      <c r="D18" s="133"/>
      <c r="E18" s="133"/>
      <c r="F18" s="133"/>
      <c r="G18" s="133"/>
      <c r="H18" s="133"/>
      <c r="I18" s="133"/>
      <c r="J18" s="133"/>
      <c r="K18" s="133"/>
      <c r="L18" s="133"/>
      <c r="M18" s="133"/>
    </row>
    <row r="19" spans="1:13">
      <c r="A19" s="133"/>
      <c r="B19" s="133"/>
      <c r="C19" s="133"/>
      <c r="D19" s="133"/>
      <c r="E19" s="133"/>
      <c r="F19" s="133"/>
      <c r="G19" s="133"/>
      <c r="H19" s="133"/>
      <c r="I19" s="133"/>
      <c r="J19" s="133"/>
      <c r="K19" s="133"/>
      <c r="L19" s="133"/>
      <c r="M19" s="133"/>
    </row>
    <row r="20" spans="1:13">
      <c r="A20" s="133"/>
      <c r="B20" s="133"/>
      <c r="C20" s="133"/>
      <c r="D20" s="133"/>
      <c r="E20" s="133"/>
      <c r="F20" s="133"/>
      <c r="G20" s="133"/>
      <c r="H20" s="133"/>
      <c r="I20" s="133"/>
      <c r="J20" s="133"/>
      <c r="K20" s="133"/>
      <c r="L20" s="133"/>
      <c r="M20" s="133"/>
    </row>
    <row r="21" spans="1:13">
      <c r="A21" s="133"/>
      <c r="B21" s="133"/>
      <c r="C21" s="133"/>
      <c r="D21" s="133"/>
      <c r="E21" s="133"/>
      <c r="F21" s="133"/>
      <c r="G21" s="133"/>
      <c r="H21" s="133"/>
      <c r="I21" s="133"/>
      <c r="J21" s="133"/>
      <c r="K21" s="133"/>
      <c r="L21" s="133"/>
      <c r="M21" s="133"/>
    </row>
    <row r="22" spans="1:13">
      <c r="A22" s="133"/>
      <c r="B22" s="133"/>
      <c r="C22" s="133"/>
      <c r="D22" s="133"/>
      <c r="E22" s="133"/>
      <c r="F22" s="133"/>
      <c r="G22" s="133"/>
      <c r="H22" s="133"/>
      <c r="I22" s="133"/>
      <c r="J22" s="133"/>
      <c r="K22" s="133"/>
      <c r="L22" s="133"/>
      <c r="M22" s="133"/>
    </row>
    <row r="23" spans="1:13">
      <c r="A23" s="133"/>
      <c r="B23" s="133"/>
      <c r="C23" s="133"/>
      <c r="D23" s="133"/>
      <c r="E23" s="133"/>
      <c r="F23" s="133"/>
      <c r="G23" s="133"/>
      <c r="H23" s="133"/>
      <c r="I23" s="133"/>
      <c r="J23" s="133"/>
      <c r="K23" s="133"/>
      <c r="L23" s="133"/>
      <c r="M23" s="133"/>
    </row>
    <row r="24" spans="1:13">
      <c r="A24" s="133"/>
      <c r="B24" s="133"/>
      <c r="C24" s="133"/>
      <c r="D24" s="133"/>
      <c r="E24" s="133"/>
      <c r="F24" s="133"/>
      <c r="G24" s="133"/>
      <c r="H24" s="133"/>
      <c r="I24" s="133"/>
      <c r="J24" s="133"/>
      <c r="K24" s="133"/>
      <c r="L24" s="133"/>
      <c r="M24" s="133"/>
    </row>
    <row r="25" spans="1:13">
      <c r="A25" s="133"/>
      <c r="B25" s="133"/>
      <c r="C25" s="133"/>
      <c r="D25" s="133"/>
      <c r="E25" s="133"/>
      <c r="F25" s="133"/>
      <c r="G25" s="133"/>
      <c r="H25" s="133"/>
      <c r="I25" s="133"/>
      <c r="J25" s="133"/>
      <c r="K25" s="133"/>
      <c r="L25" s="133"/>
      <c r="M25" s="133"/>
    </row>
    <row r="26" spans="1:13">
      <c r="A26" s="133"/>
      <c r="B26" s="133"/>
      <c r="C26" s="133"/>
      <c r="D26" s="133"/>
      <c r="E26" s="133"/>
      <c r="F26" s="133"/>
      <c r="G26" s="133"/>
      <c r="H26" s="133"/>
      <c r="I26" s="133"/>
      <c r="J26" s="133"/>
      <c r="K26" s="133"/>
      <c r="L26" s="133"/>
      <c r="M26" s="133"/>
    </row>
    <row r="27" spans="1:13">
      <c r="A27" s="133"/>
      <c r="B27" s="133"/>
      <c r="C27" s="133"/>
      <c r="D27" s="133"/>
      <c r="E27" s="133"/>
      <c r="F27" s="133"/>
      <c r="G27" s="133"/>
      <c r="H27" s="133"/>
      <c r="I27" s="133"/>
      <c r="J27" s="133"/>
      <c r="K27" s="133"/>
      <c r="L27" s="133"/>
      <c r="M27" s="133"/>
    </row>
    <row r="28" spans="1:13">
      <c r="A28" s="133"/>
      <c r="B28" s="133"/>
      <c r="C28" s="133"/>
      <c r="D28" s="133"/>
      <c r="E28" s="133"/>
      <c r="F28" s="133"/>
      <c r="G28" s="133"/>
      <c r="H28" s="133"/>
      <c r="I28" s="133"/>
      <c r="J28" s="133"/>
      <c r="K28" s="133"/>
      <c r="L28" s="133"/>
      <c r="M28" s="133"/>
    </row>
    <row r="29" spans="1:13">
      <c r="A29" s="133"/>
      <c r="B29" s="133"/>
      <c r="C29" s="133"/>
      <c r="D29" s="133"/>
      <c r="E29" s="133"/>
      <c r="F29" s="133"/>
      <c r="G29" s="133"/>
      <c r="H29" s="133"/>
      <c r="I29" s="133"/>
      <c r="J29" s="133"/>
      <c r="K29" s="133"/>
      <c r="L29" s="133"/>
      <c r="M29" s="133"/>
    </row>
  </sheetData>
  <sheetProtection algorithmName="SHA-512" hashValue="TjIHWvqQ1YjABXEqKoQ01S3JuYduUomIPhL8lHpt2J8/dXjaCqgotrWnwPsZeUgclf18ayD9bhOG7n1+blVNwg==" saltValue="Qt2L23kHL8pY/eu4pGuaYA==" spinCount="100000" sheet="1" objects="1" scenarios="1" selectLockedCells="1" selectUn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C304"/>
  <sheetViews>
    <sheetView topLeftCell="D1" workbookViewId="0">
      <selection sqref="A1:C1048576"/>
    </sheetView>
  </sheetViews>
  <sheetFormatPr defaultRowHeight="14.5"/>
  <cols>
    <col min="1" max="1" width="11" hidden="1" customWidth="1"/>
    <col min="2" max="2" width="28.08984375" hidden="1" customWidth="1"/>
    <col min="3" max="3" width="8.90625" hidden="1" customWidth="1"/>
  </cols>
  <sheetData>
    <row r="1" spans="1:3">
      <c r="A1" s="66">
        <v>2811100001</v>
      </c>
      <c r="B1" s="64" t="s">
        <v>90</v>
      </c>
      <c r="C1" s="63">
        <v>35.619999999999997</v>
      </c>
    </row>
    <row r="2" spans="1:3">
      <c r="A2" s="66">
        <v>2811200001</v>
      </c>
      <c r="B2" s="64" t="s">
        <v>90</v>
      </c>
      <c r="C2" s="63">
        <v>54.78</v>
      </c>
    </row>
    <row r="3" spans="1:3">
      <c r="A3" s="66">
        <v>2811400001</v>
      </c>
      <c r="B3" s="64" t="s">
        <v>90</v>
      </c>
      <c r="C3" s="63">
        <v>81.540000000000006</v>
      </c>
    </row>
    <row r="4" spans="1:3">
      <c r="A4" s="66">
        <v>2811500001</v>
      </c>
      <c r="B4" s="64" t="s">
        <v>90</v>
      </c>
      <c r="C4" s="63">
        <v>106.24</v>
      </c>
    </row>
    <row r="5" spans="1:3">
      <c r="A5" s="66">
        <v>2810660001</v>
      </c>
      <c r="B5" s="64" t="s">
        <v>90</v>
      </c>
      <c r="C5" s="63">
        <v>129.91999999999999</v>
      </c>
    </row>
    <row r="6" spans="1:3">
      <c r="A6" s="66">
        <v>2810770001</v>
      </c>
      <c r="B6" s="64" t="s">
        <v>90</v>
      </c>
      <c r="C6" s="63">
        <v>182.25</v>
      </c>
    </row>
    <row r="7" spans="1:3">
      <c r="A7" s="66">
        <v>2810880000</v>
      </c>
      <c r="B7" s="64" t="s">
        <v>90</v>
      </c>
      <c r="C7" s="63">
        <v>187.91</v>
      </c>
    </row>
    <row r="8" spans="1:3">
      <c r="A8" s="66">
        <v>2810900000</v>
      </c>
      <c r="B8" s="64" t="s">
        <v>90</v>
      </c>
      <c r="C8" s="63">
        <v>434.17</v>
      </c>
    </row>
    <row r="9" spans="1:3">
      <c r="A9" s="66">
        <v>2811106101</v>
      </c>
      <c r="B9" s="64" t="s">
        <v>92</v>
      </c>
      <c r="C9" s="63">
        <v>35.619999999999997</v>
      </c>
    </row>
    <row r="10" spans="1:3">
      <c r="A10" s="66">
        <v>2811206101</v>
      </c>
      <c r="B10" s="64" t="s">
        <v>93</v>
      </c>
      <c r="C10" s="63">
        <v>54.78</v>
      </c>
    </row>
    <row r="11" spans="1:3">
      <c r="A11" s="66">
        <v>2810100105</v>
      </c>
      <c r="B11" s="64" t="s">
        <v>94</v>
      </c>
      <c r="C11" s="63">
        <v>40.65</v>
      </c>
    </row>
    <row r="12" spans="1:3">
      <c r="A12" s="66">
        <v>2810200105</v>
      </c>
      <c r="B12" s="64" t="s">
        <v>94</v>
      </c>
      <c r="C12" s="63">
        <v>50.29</v>
      </c>
    </row>
    <row r="13" spans="1:3">
      <c r="A13" s="66">
        <v>2811112220</v>
      </c>
      <c r="B13" s="64" t="s">
        <v>95</v>
      </c>
      <c r="C13" s="63">
        <v>31.12</v>
      </c>
    </row>
    <row r="14" spans="1:3">
      <c r="A14" s="66">
        <v>2811212220</v>
      </c>
      <c r="B14" s="64" t="s">
        <v>95</v>
      </c>
      <c r="C14" s="63">
        <v>33.229999999999997</v>
      </c>
    </row>
    <row r="15" spans="1:3">
      <c r="A15" s="66">
        <v>2811412220</v>
      </c>
      <c r="B15" s="64" t="s">
        <v>95</v>
      </c>
      <c r="C15" s="63">
        <v>35.9</v>
      </c>
    </row>
    <row r="16" spans="1:3">
      <c r="A16" s="66">
        <v>2811512220</v>
      </c>
      <c r="B16" s="64" t="s">
        <v>95</v>
      </c>
      <c r="C16" s="63">
        <v>52.18</v>
      </c>
    </row>
    <row r="17" spans="1:3">
      <c r="A17" s="66">
        <v>2811612220</v>
      </c>
      <c r="B17" s="64" t="s">
        <v>95</v>
      </c>
      <c r="C17" s="63">
        <v>89.63</v>
      </c>
    </row>
    <row r="18" spans="1:3">
      <c r="A18" s="66">
        <v>2811712220</v>
      </c>
      <c r="B18" s="64" t="s">
        <v>95</v>
      </c>
      <c r="C18" s="63">
        <v>91.13</v>
      </c>
    </row>
    <row r="19" spans="1:3">
      <c r="A19" s="66">
        <v>2810802200</v>
      </c>
      <c r="B19" s="64" t="s">
        <v>97</v>
      </c>
      <c r="C19" s="63">
        <v>9.66</v>
      </c>
    </row>
    <row r="20" spans="1:3">
      <c r="A20" s="66">
        <v>2810912210</v>
      </c>
      <c r="B20" s="64" t="s">
        <v>98</v>
      </c>
      <c r="C20" s="63">
        <v>124.47</v>
      </c>
    </row>
    <row r="21" spans="1:3">
      <c r="A21" s="66">
        <v>2811002710</v>
      </c>
      <c r="B21" s="65" t="s">
        <v>99</v>
      </c>
      <c r="C21" s="63">
        <v>15.08</v>
      </c>
    </row>
    <row r="22" spans="1:3">
      <c r="A22" s="66">
        <v>2811012710</v>
      </c>
      <c r="B22" s="65" t="s">
        <v>99</v>
      </c>
      <c r="C22" s="63">
        <v>30.16</v>
      </c>
    </row>
    <row r="23" spans="1:3">
      <c r="A23" s="66">
        <v>2811022710</v>
      </c>
      <c r="B23" s="65" t="s">
        <v>99</v>
      </c>
      <c r="C23" s="63">
        <v>45.24</v>
      </c>
    </row>
    <row r="24" spans="1:3">
      <c r="A24" s="66">
        <v>2811032710</v>
      </c>
      <c r="B24" s="65" t="s">
        <v>99</v>
      </c>
      <c r="C24" s="63">
        <v>125.29</v>
      </c>
    </row>
    <row r="26" spans="1:3">
      <c r="A26" s="70">
        <v>2811100280</v>
      </c>
      <c r="B26" s="64" t="s">
        <v>101</v>
      </c>
      <c r="C26" s="63">
        <v>12.510000000000002</v>
      </c>
    </row>
    <row r="27" spans="1:3">
      <c r="A27" s="70">
        <v>2811200280</v>
      </c>
      <c r="B27" s="64" t="s">
        <v>101</v>
      </c>
      <c r="C27" s="63">
        <v>18.5</v>
      </c>
    </row>
    <row r="28" spans="1:3">
      <c r="A28" s="70">
        <v>2811400280</v>
      </c>
      <c r="B28" s="64" t="s">
        <v>101</v>
      </c>
      <c r="C28" s="63">
        <v>25.01</v>
      </c>
    </row>
    <row r="29" spans="1:3">
      <c r="A29" s="70">
        <v>2811500280</v>
      </c>
      <c r="B29" s="64" t="s">
        <v>101</v>
      </c>
      <c r="C29" s="63">
        <v>39.68</v>
      </c>
    </row>
    <row r="30" spans="1:3">
      <c r="A30" s="70">
        <v>2810600200</v>
      </c>
      <c r="B30" s="64" t="s">
        <v>17</v>
      </c>
      <c r="C30" s="63">
        <v>59.47</v>
      </c>
    </row>
    <row r="31" spans="1:3">
      <c r="A31" s="70">
        <v>2810700200</v>
      </c>
      <c r="B31" s="64" t="s">
        <v>17</v>
      </c>
      <c r="C31" s="63">
        <v>92.62</v>
      </c>
    </row>
    <row r="32" spans="1:3">
      <c r="A32" s="70">
        <v>2810800200</v>
      </c>
      <c r="B32" s="64" t="s">
        <v>17</v>
      </c>
      <c r="C32" s="63">
        <v>105</v>
      </c>
    </row>
    <row r="33" spans="1:3">
      <c r="A33" s="70">
        <v>2810900200</v>
      </c>
      <c r="B33" s="64" t="s">
        <v>17</v>
      </c>
      <c r="C33" s="63">
        <v>123.75</v>
      </c>
    </row>
    <row r="34" spans="1:3">
      <c r="A34" s="70">
        <v>2811212180</v>
      </c>
      <c r="B34" s="64" t="s">
        <v>102</v>
      </c>
      <c r="C34" s="63">
        <v>20.69</v>
      </c>
    </row>
    <row r="35" spans="1:3">
      <c r="A35" s="70">
        <v>2811422180</v>
      </c>
      <c r="B35" s="64" t="s">
        <v>102</v>
      </c>
      <c r="C35" s="63">
        <v>26.54</v>
      </c>
    </row>
    <row r="36" spans="1:3">
      <c r="A36" s="70">
        <v>2811542180</v>
      </c>
      <c r="B36" s="64" t="s">
        <v>102</v>
      </c>
      <c r="C36" s="63">
        <v>41.72</v>
      </c>
    </row>
    <row r="37" spans="1:3">
      <c r="A37" s="70">
        <v>2811652180</v>
      </c>
      <c r="B37" s="64" t="s">
        <v>102</v>
      </c>
      <c r="C37" s="63">
        <v>59.67</v>
      </c>
    </row>
    <row r="38" spans="1:3">
      <c r="A38" s="70">
        <v>2810762100</v>
      </c>
      <c r="B38" s="64" t="s">
        <v>103</v>
      </c>
      <c r="C38" s="63">
        <v>74.599999999999994</v>
      </c>
    </row>
    <row r="39" spans="1:3">
      <c r="A39" s="70">
        <v>2810872100</v>
      </c>
      <c r="B39" s="64" t="s">
        <v>103</v>
      </c>
      <c r="C39" s="63">
        <v>100.53</v>
      </c>
    </row>
    <row r="40" spans="1:3">
      <c r="A40" s="70">
        <v>2810982100</v>
      </c>
      <c r="B40" s="64" t="s">
        <v>103</v>
      </c>
      <c r="C40" s="63">
        <v>149.25</v>
      </c>
    </row>
    <row r="41" spans="1:3">
      <c r="A41" s="70">
        <v>2811100380</v>
      </c>
      <c r="B41" s="64" t="s">
        <v>104</v>
      </c>
      <c r="C41" s="63">
        <v>13.86</v>
      </c>
    </row>
    <row r="42" spans="1:3">
      <c r="A42" s="70">
        <v>2811200380</v>
      </c>
      <c r="B42" s="64" t="s">
        <v>104</v>
      </c>
      <c r="C42" s="63">
        <v>18.190000000000001</v>
      </c>
    </row>
    <row r="43" spans="1:3">
      <c r="A43" s="70">
        <v>2811400380</v>
      </c>
      <c r="B43" s="64" t="s">
        <v>104</v>
      </c>
      <c r="C43" s="63">
        <v>27.79</v>
      </c>
    </row>
    <row r="44" spans="1:3">
      <c r="A44" s="70">
        <v>2811500380</v>
      </c>
      <c r="B44" s="64" t="s">
        <v>104</v>
      </c>
      <c r="C44" s="63">
        <v>50.85</v>
      </c>
    </row>
    <row r="45" spans="1:3">
      <c r="A45" s="70">
        <v>2810600300</v>
      </c>
      <c r="B45" s="64" t="s">
        <v>105</v>
      </c>
      <c r="C45" s="63">
        <v>64.23</v>
      </c>
    </row>
    <row r="46" spans="1:3">
      <c r="A46" s="70">
        <v>2810700300</v>
      </c>
      <c r="B46" s="64" t="s">
        <v>105</v>
      </c>
      <c r="C46" s="63">
        <v>84.1</v>
      </c>
    </row>
    <row r="47" spans="1:3">
      <c r="A47" s="70">
        <v>2810800300</v>
      </c>
      <c r="B47" s="64" t="s">
        <v>105</v>
      </c>
      <c r="C47" s="63">
        <v>107.37</v>
      </c>
    </row>
    <row r="48" spans="1:3">
      <c r="A48" s="70">
        <v>2810900300</v>
      </c>
      <c r="B48" s="64" t="s">
        <v>105</v>
      </c>
      <c r="C48" s="63">
        <v>149.25</v>
      </c>
    </row>
    <row r="49" spans="1:3">
      <c r="A49" s="70">
        <v>2811100480</v>
      </c>
      <c r="B49" s="64" t="s">
        <v>106</v>
      </c>
      <c r="C49" s="63">
        <v>17.260000000000002</v>
      </c>
    </row>
    <row r="50" spans="1:3">
      <c r="A50" s="70">
        <v>2811200480</v>
      </c>
      <c r="B50" s="64" t="s">
        <v>106</v>
      </c>
      <c r="C50" s="63">
        <v>18.990000000000002</v>
      </c>
    </row>
    <row r="51" spans="1:3">
      <c r="A51" s="70">
        <v>2811400480</v>
      </c>
      <c r="B51" s="64" t="s">
        <v>106</v>
      </c>
      <c r="C51" s="63">
        <v>29.63</v>
      </c>
    </row>
    <row r="52" spans="1:3">
      <c r="A52" s="70">
        <v>2811500480</v>
      </c>
      <c r="B52" s="64" t="s">
        <v>106</v>
      </c>
      <c r="C52" s="63">
        <v>54.95</v>
      </c>
    </row>
    <row r="53" spans="1:3">
      <c r="A53" s="70">
        <v>2810800400</v>
      </c>
      <c r="B53" s="64" t="s">
        <v>107</v>
      </c>
      <c r="C53" s="63">
        <v>108.22</v>
      </c>
    </row>
    <row r="54" spans="1:3">
      <c r="A54" s="70">
        <v>2810900400</v>
      </c>
      <c r="B54" s="64" t="s">
        <v>107</v>
      </c>
      <c r="C54" s="63">
        <v>149.25</v>
      </c>
    </row>
    <row r="55" spans="1:3">
      <c r="A55" s="70">
        <v>2811100580</v>
      </c>
      <c r="B55" s="64" t="s">
        <v>108</v>
      </c>
      <c r="C55" s="63">
        <v>18.260000000000002</v>
      </c>
    </row>
    <row r="56" spans="1:3">
      <c r="A56" s="70">
        <v>2811200580</v>
      </c>
      <c r="B56" s="64" t="s">
        <v>108</v>
      </c>
      <c r="C56" s="63">
        <v>25.6</v>
      </c>
    </row>
    <row r="57" spans="1:3">
      <c r="A57" s="70">
        <v>2811400580</v>
      </c>
      <c r="B57" s="64" t="s">
        <v>108</v>
      </c>
      <c r="C57" s="63">
        <v>41.68</v>
      </c>
    </row>
    <row r="58" spans="1:3">
      <c r="A58" s="70">
        <v>2811500580</v>
      </c>
      <c r="B58" s="64" t="s">
        <v>108</v>
      </c>
      <c r="C58" s="63">
        <v>63.08</v>
      </c>
    </row>
    <row r="59" spans="1:3">
      <c r="A59" s="70">
        <v>2810600500</v>
      </c>
      <c r="B59" s="64" t="s">
        <v>109</v>
      </c>
      <c r="C59" s="63">
        <v>75.31</v>
      </c>
    </row>
    <row r="60" spans="1:3">
      <c r="A60" s="70">
        <v>2810700500</v>
      </c>
      <c r="B60" s="64" t="s">
        <v>109</v>
      </c>
      <c r="C60" s="63">
        <v>121.54</v>
      </c>
    </row>
    <row r="61" spans="1:3">
      <c r="A61" s="70">
        <v>2810800500</v>
      </c>
      <c r="B61" s="64" t="s">
        <v>109</v>
      </c>
      <c r="C61" s="63">
        <v>117.47</v>
      </c>
    </row>
    <row r="62" spans="1:3">
      <c r="A62" s="70">
        <v>2810900500</v>
      </c>
      <c r="B62" s="64" t="s">
        <v>109</v>
      </c>
      <c r="C62" s="63">
        <v>211.5</v>
      </c>
    </row>
    <row r="63" spans="1:3">
      <c r="A63" s="70">
        <v>2811210780</v>
      </c>
      <c r="B63" s="64" t="s">
        <v>110</v>
      </c>
      <c r="C63" s="63">
        <v>25.889999999999997</v>
      </c>
    </row>
    <row r="64" spans="1:3">
      <c r="A64" s="70">
        <v>2811410780</v>
      </c>
      <c r="B64" s="64" t="s">
        <v>110</v>
      </c>
      <c r="C64" s="63">
        <v>42.78</v>
      </c>
    </row>
    <row r="65" spans="1:3">
      <c r="A65" s="70">
        <v>2811420780</v>
      </c>
      <c r="B65" s="64" t="s">
        <v>110</v>
      </c>
      <c r="C65" s="63">
        <v>42.78</v>
      </c>
    </row>
    <row r="66" spans="1:3">
      <c r="A66" s="70">
        <v>2811510780</v>
      </c>
      <c r="B66" s="64" t="s">
        <v>110</v>
      </c>
      <c r="C66" s="63">
        <v>58.46</v>
      </c>
    </row>
    <row r="67" spans="1:3">
      <c r="A67" s="70">
        <v>2811520780</v>
      </c>
      <c r="B67" s="64" t="s">
        <v>110</v>
      </c>
      <c r="C67" s="63">
        <v>60</v>
      </c>
    </row>
    <row r="68" spans="1:3">
      <c r="A68" s="70">
        <v>2811540780</v>
      </c>
      <c r="B68" s="64" t="s">
        <v>110</v>
      </c>
      <c r="C68" s="63">
        <v>61.65</v>
      </c>
    </row>
    <row r="69" spans="1:3">
      <c r="A69" s="70">
        <v>2811650780</v>
      </c>
      <c r="B69" s="64" t="s">
        <v>110</v>
      </c>
      <c r="C69" s="63">
        <v>71.25</v>
      </c>
    </row>
    <row r="70" spans="1:3">
      <c r="A70" s="70">
        <v>2810760700</v>
      </c>
      <c r="B70" s="64" t="s">
        <v>111</v>
      </c>
      <c r="C70" s="63">
        <v>74.599999999999994</v>
      </c>
    </row>
    <row r="71" spans="1:3">
      <c r="A71" s="70">
        <v>2810850700</v>
      </c>
      <c r="B71" s="64" t="s">
        <v>111</v>
      </c>
      <c r="C71" s="63">
        <v>112.19</v>
      </c>
    </row>
    <row r="72" spans="1:3">
      <c r="A72" s="70">
        <v>2810860700</v>
      </c>
      <c r="B72" s="64" t="s">
        <v>111</v>
      </c>
      <c r="C72" s="63">
        <v>114.43</v>
      </c>
    </row>
    <row r="73" spans="1:3">
      <c r="A73" s="70">
        <v>2810870700</v>
      </c>
      <c r="B73" s="64" t="s">
        <v>111</v>
      </c>
      <c r="C73" s="63">
        <v>127.1</v>
      </c>
    </row>
    <row r="74" spans="1:3">
      <c r="A74" s="70">
        <v>2810980700</v>
      </c>
      <c r="B74" s="64" t="s">
        <v>111</v>
      </c>
      <c r="C74" s="63">
        <v>201</v>
      </c>
    </row>
    <row r="75" spans="1:3">
      <c r="A75" s="70">
        <v>2811000980</v>
      </c>
      <c r="B75" s="64" t="s">
        <v>112</v>
      </c>
      <c r="C75" s="63">
        <v>24.75</v>
      </c>
    </row>
    <row r="76" spans="1:3">
      <c r="A76" s="70">
        <v>2811100980</v>
      </c>
      <c r="B76" s="64" t="s">
        <v>112</v>
      </c>
      <c r="C76" s="63">
        <v>24.59</v>
      </c>
    </row>
    <row r="77" spans="1:3">
      <c r="A77" s="70">
        <v>2811200980</v>
      </c>
      <c r="B77" s="64" t="s">
        <v>112</v>
      </c>
      <c r="C77" s="63">
        <v>30.47</v>
      </c>
    </row>
    <row r="78" spans="1:3">
      <c r="A78" s="70">
        <v>2811420980</v>
      </c>
      <c r="B78" s="64" t="s">
        <v>112</v>
      </c>
      <c r="C78" s="63">
        <v>47.23</v>
      </c>
    </row>
    <row r="79" spans="1:3">
      <c r="A79" s="70">
        <v>2811520980</v>
      </c>
      <c r="B79" s="64" t="s">
        <v>112</v>
      </c>
      <c r="C79" s="63">
        <v>71.22</v>
      </c>
    </row>
    <row r="80" spans="1:3">
      <c r="A80" s="70">
        <v>2810650900</v>
      </c>
      <c r="B80" s="64" t="s">
        <v>112</v>
      </c>
      <c r="C80" s="63">
        <v>88.800000000000011</v>
      </c>
    </row>
    <row r="81" spans="1:3">
      <c r="A81" s="70">
        <v>2810760900</v>
      </c>
      <c r="B81" s="64" t="s">
        <v>113</v>
      </c>
      <c r="C81" s="63">
        <v>141.38999999999999</v>
      </c>
    </row>
    <row r="82" spans="1:3">
      <c r="A82" s="70">
        <v>2810770900</v>
      </c>
      <c r="B82" s="64" t="s">
        <v>113</v>
      </c>
      <c r="C82" s="63">
        <v>155.1</v>
      </c>
    </row>
    <row r="83" spans="1:3">
      <c r="A83" s="70">
        <v>2810820900</v>
      </c>
      <c r="B83" s="64" t="s">
        <v>113</v>
      </c>
      <c r="C83" s="63">
        <v>97.859999999999985</v>
      </c>
    </row>
    <row r="84" spans="1:3">
      <c r="A84" s="70">
        <v>2810920900</v>
      </c>
      <c r="B84" s="64" t="s">
        <v>113</v>
      </c>
      <c r="C84" s="63">
        <v>165.5</v>
      </c>
    </row>
    <row r="85" spans="1:3">
      <c r="A85" s="70">
        <v>2811211080</v>
      </c>
      <c r="B85" s="64" t="s">
        <v>114</v>
      </c>
      <c r="C85" s="63">
        <v>19.670000000000002</v>
      </c>
    </row>
    <row r="86" spans="1:3">
      <c r="A86" s="70">
        <v>2811411080</v>
      </c>
      <c r="B86" s="64" t="s">
        <v>114</v>
      </c>
      <c r="C86" s="63">
        <v>21.13</v>
      </c>
    </row>
    <row r="87" spans="1:3">
      <c r="A87" s="70">
        <v>2811421080</v>
      </c>
      <c r="B87" s="64" t="s">
        <v>114</v>
      </c>
      <c r="C87" s="63">
        <v>24.5</v>
      </c>
    </row>
    <row r="88" spans="1:3">
      <c r="A88" s="70">
        <v>2811511080</v>
      </c>
      <c r="B88" s="64" t="s">
        <v>114</v>
      </c>
      <c r="C88" s="63">
        <v>28.36</v>
      </c>
    </row>
    <row r="89" spans="1:3">
      <c r="A89" s="70">
        <v>2811521080</v>
      </c>
      <c r="B89" s="64" t="s">
        <v>114</v>
      </c>
      <c r="C89" s="63">
        <v>41.78</v>
      </c>
    </row>
    <row r="90" spans="1:3">
      <c r="A90" s="70">
        <v>2811611080</v>
      </c>
      <c r="B90" s="64" t="s">
        <v>114</v>
      </c>
      <c r="C90" s="63">
        <v>45.33</v>
      </c>
    </row>
    <row r="91" spans="1:3">
      <c r="A91" s="70">
        <v>2811621080</v>
      </c>
      <c r="B91" s="64" t="s">
        <v>114</v>
      </c>
      <c r="C91" s="63">
        <v>45.33</v>
      </c>
    </row>
    <row r="92" spans="1:3">
      <c r="A92" s="70">
        <v>2811711080</v>
      </c>
      <c r="B92" s="64" t="s">
        <v>114</v>
      </c>
      <c r="C92" s="63">
        <v>54.65</v>
      </c>
    </row>
    <row r="93" spans="1:3">
      <c r="A93" s="70">
        <v>2811721080</v>
      </c>
      <c r="B93" s="64" t="s">
        <v>114</v>
      </c>
      <c r="C93" s="63">
        <v>81.96</v>
      </c>
    </row>
    <row r="94" spans="1:3">
      <c r="A94" s="70">
        <v>2811201280</v>
      </c>
      <c r="B94" s="64" t="s">
        <v>115</v>
      </c>
      <c r="C94" s="63">
        <v>23.64</v>
      </c>
    </row>
    <row r="95" spans="1:3">
      <c r="A95" s="70">
        <v>2811201280</v>
      </c>
      <c r="B95" s="64" t="s">
        <v>116</v>
      </c>
      <c r="C95" s="63">
        <v>24.97</v>
      </c>
    </row>
    <row r="96" spans="1:3">
      <c r="A96" s="70">
        <v>2811401280</v>
      </c>
      <c r="B96" s="64" t="s">
        <v>115</v>
      </c>
      <c r="C96" s="63">
        <v>30.44</v>
      </c>
    </row>
    <row r="97" spans="1:3">
      <c r="A97" s="70">
        <v>2811401280</v>
      </c>
      <c r="B97" s="64" t="s">
        <v>116</v>
      </c>
      <c r="C97" s="63">
        <v>32.630000000000003</v>
      </c>
    </row>
    <row r="98" spans="1:3">
      <c r="A98" s="70">
        <v>2811411280</v>
      </c>
      <c r="B98" s="64" t="s">
        <v>116</v>
      </c>
      <c r="C98" s="63">
        <v>39.74</v>
      </c>
    </row>
    <row r="99" spans="1:3">
      <c r="A99" s="70">
        <v>2811501280</v>
      </c>
      <c r="B99" s="64" t="s">
        <v>115</v>
      </c>
      <c r="C99" s="63">
        <v>39.1</v>
      </c>
    </row>
    <row r="100" spans="1:3">
      <c r="A100" s="70">
        <v>2811501280</v>
      </c>
      <c r="B100" s="64" t="s">
        <v>116</v>
      </c>
      <c r="C100" s="63">
        <v>30.62</v>
      </c>
    </row>
    <row r="101" spans="1:3">
      <c r="A101" s="70">
        <v>2811511280</v>
      </c>
      <c r="B101" s="64" t="s">
        <v>115</v>
      </c>
      <c r="C101" s="63">
        <v>47.04</v>
      </c>
    </row>
    <row r="102" spans="1:3">
      <c r="A102" s="70">
        <v>2811511280</v>
      </c>
      <c r="B102" s="64" t="s">
        <v>116</v>
      </c>
      <c r="C102" s="63">
        <v>33.130000000000003</v>
      </c>
    </row>
    <row r="103" spans="1:3">
      <c r="A103" s="70">
        <v>2811601280</v>
      </c>
      <c r="B103" s="64" t="s">
        <v>115</v>
      </c>
      <c r="C103" s="63">
        <v>47.5</v>
      </c>
    </row>
    <row r="104" spans="1:3">
      <c r="A104" s="70">
        <v>2811601280</v>
      </c>
      <c r="B104" s="64" t="s">
        <v>116</v>
      </c>
      <c r="C104" s="63">
        <v>55.64</v>
      </c>
    </row>
    <row r="105" spans="1:3">
      <c r="A105" s="70">
        <v>2811611280</v>
      </c>
      <c r="B105" s="64" t="s">
        <v>115</v>
      </c>
      <c r="C105" s="63">
        <v>52.85</v>
      </c>
    </row>
    <row r="106" spans="1:3">
      <c r="A106" s="70">
        <v>2811611280</v>
      </c>
      <c r="B106" s="64" t="s">
        <v>116</v>
      </c>
      <c r="C106" s="74">
        <v>60.56</v>
      </c>
    </row>
    <row r="107" spans="1:3">
      <c r="A107" s="70">
        <v>2811701280</v>
      </c>
      <c r="B107" s="64" t="s">
        <v>115</v>
      </c>
      <c r="C107" s="63">
        <v>90.53</v>
      </c>
    </row>
    <row r="108" spans="1:3">
      <c r="A108" s="70">
        <v>2811701280</v>
      </c>
      <c r="B108" s="64" t="s">
        <v>116</v>
      </c>
      <c r="C108" s="74">
        <v>64.63</v>
      </c>
    </row>
    <row r="109" spans="1:3">
      <c r="A109" s="70">
        <v>2811711280</v>
      </c>
      <c r="B109" s="64" t="s">
        <v>115</v>
      </c>
      <c r="C109" s="63">
        <v>104.56</v>
      </c>
    </row>
    <row r="110" spans="1:3">
      <c r="A110" s="70">
        <v>2811711280</v>
      </c>
      <c r="B110" s="64" t="s">
        <v>116</v>
      </c>
      <c r="C110" s="74">
        <v>72.89</v>
      </c>
    </row>
    <row r="111" spans="1:3">
      <c r="A111" s="70">
        <v>2811101880</v>
      </c>
      <c r="B111" s="64" t="s">
        <v>117</v>
      </c>
      <c r="C111" s="63">
        <v>18.649999999999999</v>
      </c>
    </row>
    <row r="112" spans="1:3">
      <c r="A112" s="70">
        <v>2811111880</v>
      </c>
      <c r="B112" s="64" t="s">
        <v>117</v>
      </c>
      <c r="C112" s="63">
        <v>18.649999999999999</v>
      </c>
    </row>
    <row r="113" spans="1:3">
      <c r="A113" s="70">
        <v>2811211880</v>
      </c>
      <c r="B113" s="64" t="s">
        <v>117</v>
      </c>
      <c r="C113" s="63">
        <v>24.16</v>
      </c>
    </row>
    <row r="114" spans="1:3">
      <c r="A114" s="70">
        <v>2811221880</v>
      </c>
      <c r="B114" s="64" t="s">
        <v>117</v>
      </c>
      <c r="C114" s="63">
        <v>29.82</v>
      </c>
    </row>
    <row r="115" spans="1:3">
      <c r="A115" s="70">
        <v>2811431880</v>
      </c>
      <c r="B115" s="64" t="s">
        <v>117</v>
      </c>
      <c r="C115" s="63">
        <v>41.68</v>
      </c>
    </row>
    <row r="116" spans="1:3">
      <c r="A116" s="70">
        <v>2811441880</v>
      </c>
      <c r="B116" s="64" t="s">
        <v>117</v>
      </c>
      <c r="C116" s="63">
        <v>41.68</v>
      </c>
    </row>
    <row r="117" spans="1:3">
      <c r="A117" s="70">
        <v>2811541880</v>
      </c>
      <c r="B117" s="64" t="s">
        <v>117</v>
      </c>
      <c r="C117" s="63">
        <v>66.14</v>
      </c>
    </row>
    <row r="118" spans="1:3">
      <c r="A118" s="70">
        <v>2811551880</v>
      </c>
      <c r="B118" s="64" t="s">
        <v>117</v>
      </c>
      <c r="C118" s="63">
        <v>66.14</v>
      </c>
    </row>
    <row r="119" spans="1:3">
      <c r="A119" s="70">
        <v>2810651800</v>
      </c>
      <c r="B119" s="64" t="s">
        <v>118</v>
      </c>
      <c r="C119" s="63">
        <v>75.98</v>
      </c>
    </row>
    <row r="120" spans="1:3">
      <c r="A120" s="70">
        <v>2810661800</v>
      </c>
      <c r="B120" s="64" t="s">
        <v>118</v>
      </c>
      <c r="C120" s="63">
        <v>75.98</v>
      </c>
    </row>
    <row r="121" spans="1:3">
      <c r="A121" s="70">
        <v>2810761800</v>
      </c>
      <c r="B121" s="64" t="s">
        <v>118</v>
      </c>
      <c r="C121" s="63">
        <v>95</v>
      </c>
    </row>
    <row r="122" spans="1:3">
      <c r="A122" s="70">
        <v>2810771800</v>
      </c>
      <c r="B122" s="64" t="s">
        <v>118</v>
      </c>
      <c r="C122" s="63">
        <v>97.259999999999991</v>
      </c>
    </row>
    <row r="123" spans="1:3">
      <c r="A123" s="70">
        <v>2810662000</v>
      </c>
      <c r="B123" s="64" t="s">
        <v>119</v>
      </c>
      <c r="C123" s="63">
        <v>99.05</v>
      </c>
    </row>
    <row r="124" spans="1:3">
      <c r="A124" s="70">
        <v>2811111480</v>
      </c>
      <c r="B124" s="64" t="s">
        <v>120</v>
      </c>
      <c r="C124" s="63">
        <v>22.35</v>
      </c>
    </row>
    <row r="125" spans="1:3">
      <c r="A125" s="70">
        <v>2811221480</v>
      </c>
      <c r="B125" s="64" t="s">
        <v>120</v>
      </c>
      <c r="C125" s="63">
        <v>25.93</v>
      </c>
    </row>
    <row r="126" spans="1:3">
      <c r="A126" s="70">
        <v>2811441480</v>
      </c>
      <c r="B126" s="64" t="s">
        <v>120</v>
      </c>
      <c r="C126" s="63">
        <v>65.75</v>
      </c>
    </row>
    <row r="127" spans="1:3">
      <c r="A127" s="70">
        <v>2811551480</v>
      </c>
      <c r="B127" s="64" t="s">
        <v>120</v>
      </c>
      <c r="C127" s="63">
        <v>86.48</v>
      </c>
    </row>
    <row r="128" spans="1:3">
      <c r="A128" s="70">
        <v>2810661400</v>
      </c>
      <c r="B128" s="64" t="s">
        <v>121</v>
      </c>
      <c r="C128" s="63">
        <v>266.31</v>
      </c>
    </row>
    <row r="129" spans="1:3">
      <c r="A129" s="70">
        <v>2810771400</v>
      </c>
      <c r="B129" s="64" t="s">
        <v>121</v>
      </c>
      <c r="C129" s="63">
        <v>294.14999999999998</v>
      </c>
    </row>
    <row r="130" spans="1:3">
      <c r="A130" s="70">
        <v>2811002080</v>
      </c>
      <c r="B130" s="64" t="s">
        <v>122</v>
      </c>
      <c r="C130" s="63">
        <v>16.75</v>
      </c>
    </row>
    <row r="131" spans="1:3">
      <c r="A131" s="70">
        <v>2811102080</v>
      </c>
      <c r="B131" s="64" t="s">
        <v>122</v>
      </c>
      <c r="C131" s="63">
        <v>16.75</v>
      </c>
    </row>
    <row r="132" spans="1:3">
      <c r="A132" s="70">
        <v>2811202080</v>
      </c>
      <c r="B132" s="64" t="s">
        <v>122</v>
      </c>
      <c r="C132" s="63">
        <v>22.32</v>
      </c>
    </row>
    <row r="133" spans="1:3">
      <c r="A133" s="71">
        <v>2811212080</v>
      </c>
      <c r="B133" s="64" t="s">
        <v>122</v>
      </c>
      <c r="C133" s="63">
        <v>22.32</v>
      </c>
    </row>
    <row r="134" spans="1:3">
      <c r="A134" s="70">
        <v>2811422080</v>
      </c>
      <c r="B134" s="64" t="s">
        <v>122</v>
      </c>
      <c r="C134" s="63">
        <v>30.16</v>
      </c>
    </row>
    <row r="135" spans="1:3">
      <c r="A135" s="70">
        <v>2811542080</v>
      </c>
      <c r="B135" s="64" t="s">
        <v>122</v>
      </c>
      <c r="C135" s="63">
        <v>45.24</v>
      </c>
    </row>
    <row r="136" spans="1:3">
      <c r="A136" s="70">
        <v>2811552080</v>
      </c>
      <c r="B136" s="64" t="s">
        <v>122</v>
      </c>
      <c r="C136" s="63">
        <v>84.37</v>
      </c>
    </row>
    <row r="137" spans="1:3">
      <c r="A137" s="70">
        <v>2811100680</v>
      </c>
      <c r="B137" s="64" t="s">
        <v>123</v>
      </c>
      <c r="C137" s="63">
        <v>14.370000000000001</v>
      </c>
    </row>
    <row r="138" spans="1:3">
      <c r="A138" s="70">
        <v>2811200680</v>
      </c>
      <c r="B138" s="64" t="s">
        <v>123</v>
      </c>
      <c r="C138" s="63">
        <v>15.35</v>
      </c>
    </row>
    <row r="139" spans="1:3">
      <c r="A139" s="70">
        <v>2811400680</v>
      </c>
      <c r="B139" s="64" t="s">
        <v>123</v>
      </c>
      <c r="C139" s="63">
        <v>21.3</v>
      </c>
    </row>
    <row r="140" spans="1:3">
      <c r="A140" s="70">
        <v>2811500680</v>
      </c>
      <c r="B140" s="64" t="s">
        <v>123</v>
      </c>
      <c r="C140" s="63">
        <v>37.65</v>
      </c>
    </row>
    <row r="141" spans="1:3">
      <c r="A141" s="70">
        <v>2810600600</v>
      </c>
      <c r="B141" s="64" t="s">
        <v>44</v>
      </c>
      <c r="C141" s="63">
        <v>41.83</v>
      </c>
    </row>
    <row r="142" spans="1:3">
      <c r="A142" s="70">
        <v>2810700600</v>
      </c>
      <c r="B142" s="64" t="s">
        <v>44</v>
      </c>
      <c r="C142" s="63">
        <v>60.61</v>
      </c>
    </row>
    <row r="143" spans="1:3">
      <c r="A143" s="70">
        <v>2810981600</v>
      </c>
      <c r="B143" s="64" t="s">
        <v>124</v>
      </c>
      <c r="C143" s="63">
        <v>122.25</v>
      </c>
    </row>
    <row r="144" spans="1:3">
      <c r="A144" s="70">
        <v>2810605400</v>
      </c>
      <c r="B144" s="64" t="s">
        <v>125</v>
      </c>
      <c r="C144" s="63">
        <v>134.51999999999998</v>
      </c>
    </row>
    <row r="145" spans="1:3">
      <c r="A145" s="70">
        <v>2810705400</v>
      </c>
      <c r="B145" s="64" t="s">
        <v>125</v>
      </c>
      <c r="C145" s="63">
        <v>124.4</v>
      </c>
    </row>
    <row r="146" spans="1:3">
      <c r="A146" s="70">
        <v>2810825400</v>
      </c>
      <c r="B146" s="64" t="s">
        <v>126</v>
      </c>
      <c r="C146" s="63">
        <v>144.71999999999997</v>
      </c>
    </row>
    <row r="147" spans="1:3">
      <c r="A147" s="70">
        <v>2810915400</v>
      </c>
      <c r="B147" s="64" t="s">
        <v>126</v>
      </c>
      <c r="C147" s="63">
        <v>155.99</v>
      </c>
    </row>
    <row r="148" spans="1:3">
      <c r="A148" s="72" t="s">
        <v>312</v>
      </c>
      <c r="B148" s="64" t="s">
        <v>127</v>
      </c>
      <c r="C148" s="63">
        <v>18.12</v>
      </c>
    </row>
    <row r="149" spans="1:3">
      <c r="A149" s="72" t="s">
        <v>313</v>
      </c>
      <c r="B149" s="64" t="s">
        <v>127</v>
      </c>
      <c r="C149" s="63">
        <v>22.35</v>
      </c>
    </row>
    <row r="150" spans="1:3">
      <c r="A150" s="72" t="s">
        <v>314</v>
      </c>
      <c r="B150" s="64" t="s">
        <v>127</v>
      </c>
      <c r="C150" s="63">
        <v>21.92</v>
      </c>
    </row>
    <row r="151" spans="1:3">
      <c r="A151" s="73" t="s">
        <v>315</v>
      </c>
      <c r="B151" s="64" t="s">
        <v>128</v>
      </c>
      <c r="C151" s="63">
        <v>19.43</v>
      </c>
    </row>
    <row r="152" spans="1:3">
      <c r="A152" s="73" t="s">
        <v>316</v>
      </c>
      <c r="B152" s="64" t="s">
        <v>128</v>
      </c>
      <c r="C152" s="63">
        <v>28.99</v>
      </c>
    </row>
    <row r="153" spans="1:3">
      <c r="A153" s="70">
        <v>2811102480</v>
      </c>
      <c r="B153" s="64" t="s">
        <v>129</v>
      </c>
      <c r="C153" s="63">
        <v>29.29</v>
      </c>
    </row>
    <row r="154" spans="1:3">
      <c r="A154" s="70">
        <v>2811202480</v>
      </c>
      <c r="B154" s="64" t="s">
        <v>129</v>
      </c>
      <c r="C154" s="63">
        <v>30.8</v>
      </c>
    </row>
    <row r="155" spans="1:3">
      <c r="A155" s="70">
        <v>2811002680</v>
      </c>
      <c r="B155" s="64" t="s">
        <v>130</v>
      </c>
      <c r="C155" s="63">
        <v>27.75</v>
      </c>
    </row>
    <row r="156" spans="1:3">
      <c r="A156" s="70">
        <v>2811102680</v>
      </c>
      <c r="B156" s="64" t="s">
        <v>130</v>
      </c>
      <c r="C156" s="63">
        <v>29.29</v>
      </c>
    </row>
    <row r="158" spans="1:3">
      <c r="A158" s="70">
        <v>2811100112</v>
      </c>
      <c r="B158" s="64" t="s">
        <v>131</v>
      </c>
      <c r="C158" s="63">
        <v>68.430000000000007</v>
      </c>
    </row>
    <row r="159" spans="1:3">
      <c r="A159" s="70">
        <v>2811200112</v>
      </c>
      <c r="B159" s="64" t="s">
        <v>131</v>
      </c>
      <c r="C159" s="63">
        <v>29.71</v>
      </c>
    </row>
    <row r="160" spans="1:3">
      <c r="A160" s="70">
        <v>2811400112</v>
      </c>
      <c r="B160" s="64" t="s">
        <v>131</v>
      </c>
      <c r="C160" s="63">
        <v>70.069999999999993</v>
      </c>
    </row>
    <row r="161" spans="1:3">
      <c r="A161" s="70">
        <v>2811500112</v>
      </c>
      <c r="B161" s="64" t="s">
        <v>131</v>
      </c>
      <c r="C161" s="63">
        <v>90.87</v>
      </c>
    </row>
    <row r="162" spans="1:3">
      <c r="A162" s="70">
        <v>2810606005</v>
      </c>
      <c r="B162" s="64" t="s">
        <v>132</v>
      </c>
      <c r="C162" s="63">
        <v>43.09</v>
      </c>
    </row>
    <row r="163" spans="1:3">
      <c r="A163" s="70">
        <v>2810706005</v>
      </c>
      <c r="B163" s="64" t="s">
        <v>132</v>
      </c>
      <c r="C163" s="63">
        <v>78.150000000000006</v>
      </c>
    </row>
    <row r="164" spans="1:3">
      <c r="A164" s="70">
        <v>2810106510</v>
      </c>
      <c r="B164" s="64" t="s">
        <v>133</v>
      </c>
      <c r="C164" s="63">
        <v>10.99</v>
      </c>
    </row>
    <row r="165" spans="1:3">
      <c r="A165" s="70">
        <v>2810206510</v>
      </c>
      <c r="B165" s="64" t="s">
        <v>133</v>
      </c>
      <c r="C165" s="63">
        <v>14.32</v>
      </c>
    </row>
    <row r="166" spans="1:3">
      <c r="A166" s="70">
        <v>2810406510</v>
      </c>
      <c r="B166" s="64" t="s">
        <v>133</v>
      </c>
      <c r="C166" s="63">
        <v>5.36</v>
      </c>
    </row>
    <row r="167" spans="1:3">
      <c r="A167" s="70">
        <v>2810506510</v>
      </c>
      <c r="B167" s="64" t="s">
        <v>133</v>
      </c>
      <c r="C167" s="63">
        <v>6.26</v>
      </c>
    </row>
    <row r="168" spans="1:3">
      <c r="A168" s="70">
        <v>2810606510</v>
      </c>
      <c r="B168" s="64" t="s">
        <v>133</v>
      </c>
      <c r="C168" s="63">
        <v>7.91</v>
      </c>
    </row>
    <row r="169" spans="1:3">
      <c r="A169" s="70">
        <v>2810706510</v>
      </c>
      <c r="B169" s="64" t="s">
        <v>133</v>
      </c>
      <c r="C169" s="63">
        <v>11.07</v>
      </c>
    </row>
    <row r="170" spans="1:3">
      <c r="A170" s="70">
        <v>2810106610</v>
      </c>
      <c r="B170" s="64" t="s">
        <v>133</v>
      </c>
      <c r="C170" s="63">
        <v>4.34</v>
      </c>
    </row>
    <row r="171" spans="1:3">
      <c r="A171" s="70">
        <v>2810206610</v>
      </c>
      <c r="B171" s="64" t="s">
        <v>133</v>
      </c>
      <c r="C171" s="63">
        <v>5.21</v>
      </c>
    </row>
    <row r="172" spans="1:3">
      <c r="A172" s="70">
        <v>2810806010</v>
      </c>
      <c r="B172" s="64" t="s">
        <v>134</v>
      </c>
      <c r="C172" s="63">
        <v>29.93</v>
      </c>
    </row>
    <row r="173" spans="1:3">
      <c r="A173" s="70">
        <v>2810806505</v>
      </c>
      <c r="B173" s="64" t="s">
        <v>135</v>
      </c>
      <c r="C173" s="63">
        <v>77.510000000000005</v>
      </c>
    </row>
    <row r="175" spans="1:3">
      <c r="A175" s="75">
        <v>2811115381</v>
      </c>
      <c r="B175" s="64" t="s">
        <v>136</v>
      </c>
      <c r="C175" s="63">
        <v>38.15</v>
      </c>
    </row>
    <row r="176" spans="1:3">
      <c r="A176" s="75">
        <v>2811225381</v>
      </c>
      <c r="B176" s="64" t="s">
        <v>136</v>
      </c>
      <c r="C176" s="63">
        <v>69.38</v>
      </c>
    </row>
    <row r="177" spans="1:3">
      <c r="A177" s="75">
        <v>2811445380</v>
      </c>
      <c r="B177" s="64" t="s">
        <v>136</v>
      </c>
      <c r="C177" s="63">
        <v>120.13</v>
      </c>
    </row>
    <row r="178" spans="1:3">
      <c r="A178" s="75">
        <v>2811555380</v>
      </c>
      <c r="B178" s="64" t="s">
        <v>136</v>
      </c>
      <c r="C178" s="63">
        <v>132</v>
      </c>
    </row>
    <row r="179" spans="1:3">
      <c r="A179" s="75">
        <v>2810665300</v>
      </c>
      <c r="B179" s="64" t="s">
        <v>137</v>
      </c>
      <c r="C179" s="63">
        <v>323.52999999999997</v>
      </c>
    </row>
    <row r="180" spans="1:3">
      <c r="A180" s="75">
        <v>2810775300</v>
      </c>
      <c r="B180" s="64" t="s">
        <v>137</v>
      </c>
      <c r="C180" s="63">
        <v>400.22</v>
      </c>
    </row>
    <row r="181" spans="1:3">
      <c r="A181" s="75">
        <v>2811105181</v>
      </c>
      <c r="B181" s="64" t="s">
        <v>138</v>
      </c>
      <c r="C181" s="63">
        <v>62.09</v>
      </c>
    </row>
    <row r="182" spans="1:3">
      <c r="A182" s="75">
        <v>2811205181</v>
      </c>
      <c r="B182" s="64" t="s">
        <v>138</v>
      </c>
      <c r="C182" s="63">
        <v>86.53</v>
      </c>
    </row>
    <row r="183" spans="1:3">
      <c r="A183" s="75">
        <v>2811405180</v>
      </c>
      <c r="B183" s="64" t="s">
        <v>138</v>
      </c>
      <c r="C183" s="63">
        <v>125.00999999999999</v>
      </c>
    </row>
    <row r="184" spans="1:3">
      <c r="A184" s="75">
        <v>2811505181</v>
      </c>
      <c r="B184" s="64" t="s">
        <v>138</v>
      </c>
      <c r="C184" s="63">
        <v>223.82</v>
      </c>
    </row>
    <row r="185" spans="1:3">
      <c r="A185" s="75">
        <v>2810605100</v>
      </c>
      <c r="B185" s="64" t="s">
        <v>139</v>
      </c>
      <c r="C185" s="63">
        <v>379.42</v>
      </c>
    </row>
    <row r="186" spans="1:3">
      <c r="A186" s="75">
        <v>2810705100</v>
      </c>
      <c r="B186" s="64" t="s">
        <v>139</v>
      </c>
      <c r="C186" s="63">
        <v>457.19</v>
      </c>
    </row>
    <row r="187" spans="1:3">
      <c r="A187" s="75">
        <v>2811126400</v>
      </c>
      <c r="B187" s="64" t="s">
        <v>140</v>
      </c>
      <c r="C187" s="63">
        <v>19.149999999999999</v>
      </c>
    </row>
    <row r="188" spans="1:3">
      <c r="A188" s="75">
        <v>2811406400</v>
      </c>
      <c r="B188" s="64" t="s">
        <v>140</v>
      </c>
      <c r="C188" s="63">
        <v>35.04</v>
      </c>
    </row>
    <row r="189" spans="1:3">
      <c r="A189" s="75">
        <v>2811506400</v>
      </c>
      <c r="B189" s="64" t="s">
        <v>140</v>
      </c>
      <c r="C189" s="63">
        <v>38.5</v>
      </c>
    </row>
    <row r="190" spans="1:3">
      <c r="A190" s="75">
        <v>1310072363</v>
      </c>
      <c r="B190" s="64" t="s">
        <v>141</v>
      </c>
      <c r="C190" s="63">
        <v>11.71</v>
      </c>
    </row>
    <row r="191" spans="1:3">
      <c r="A191" s="75">
        <v>1310072282</v>
      </c>
      <c r="B191" s="64" t="s">
        <v>141</v>
      </c>
      <c r="C191" s="63">
        <v>11.71</v>
      </c>
    </row>
    <row r="192" spans="1:3">
      <c r="A192" s="75">
        <v>1310072884</v>
      </c>
      <c r="B192" s="64" t="s">
        <v>141</v>
      </c>
      <c r="C192" s="63">
        <v>19.34</v>
      </c>
    </row>
    <row r="193" spans="1:3">
      <c r="A193" s="75">
        <v>1310072283</v>
      </c>
      <c r="B193" s="64" t="s">
        <v>141</v>
      </c>
      <c r="C193" s="63">
        <v>22.9</v>
      </c>
    </row>
    <row r="194" spans="1:3">
      <c r="A194" s="75">
        <v>1310072284</v>
      </c>
      <c r="B194" s="64" t="s">
        <v>141</v>
      </c>
      <c r="C194" s="63">
        <v>28.45</v>
      </c>
    </row>
    <row r="195" spans="1:3">
      <c r="A195" s="75">
        <v>1310072378</v>
      </c>
      <c r="B195" s="64" t="s">
        <v>141</v>
      </c>
      <c r="C195" s="63">
        <v>46.44</v>
      </c>
    </row>
    <row r="196" spans="1:3">
      <c r="A196" s="75">
        <v>1310072286</v>
      </c>
      <c r="B196" s="64" t="s">
        <v>141</v>
      </c>
      <c r="C196" s="63">
        <v>50.550000000000004</v>
      </c>
    </row>
    <row r="197" spans="1:3">
      <c r="A197" s="75">
        <v>1310072287</v>
      </c>
      <c r="B197" s="64" t="s">
        <v>141</v>
      </c>
      <c r="C197" s="63">
        <v>98.98</v>
      </c>
    </row>
    <row r="198" spans="1:3">
      <c r="A198" s="75">
        <v>1310072288</v>
      </c>
      <c r="B198" s="64" t="s">
        <v>141</v>
      </c>
      <c r="C198" s="63">
        <v>200.21999999999997</v>
      </c>
    </row>
    <row r="199" spans="1:3">
      <c r="A199" s="75">
        <v>1310072289</v>
      </c>
      <c r="B199" s="64" t="s">
        <v>141</v>
      </c>
      <c r="C199" s="63">
        <v>305.96999999999997</v>
      </c>
    </row>
    <row r="200" spans="1:3">
      <c r="A200" s="75">
        <v>1606456104</v>
      </c>
      <c r="B200" s="64" t="s">
        <v>142</v>
      </c>
      <c r="C200" s="63">
        <v>242.38</v>
      </c>
    </row>
    <row r="201" spans="1:3">
      <c r="A201" s="75">
        <v>2810025408</v>
      </c>
      <c r="B201" s="64" t="s">
        <v>143</v>
      </c>
      <c r="C201" s="76">
        <v>57.95</v>
      </c>
    </row>
    <row r="202" spans="1:3">
      <c r="A202" s="75">
        <v>2810905100</v>
      </c>
      <c r="B202" s="64" t="s">
        <v>144</v>
      </c>
      <c r="C202" s="76">
        <v>284.25</v>
      </c>
    </row>
    <row r="203" spans="1:3">
      <c r="A203" s="75">
        <v>2810045408</v>
      </c>
      <c r="B203" s="64" t="s">
        <v>143</v>
      </c>
      <c r="C203" s="76">
        <v>42.38</v>
      </c>
    </row>
    <row r="205" spans="1:3">
      <c r="A205" s="75">
        <v>1312100941</v>
      </c>
      <c r="B205" s="64" t="s">
        <v>147</v>
      </c>
      <c r="C205" s="63">
        <v>20.37</v>
      </c>
    </row>
    <row r="206" spans="1:3">
      <c r="A206" s="75">
        <v>1312100942</v>
      </c>
      <c r="B206" s="64" t="s">
        <v>147</v>
      </c>
      <c r="C206" s="63">
        <v>20.37</v>
      </c>
    </row>
    <row r="207" spans="1:3">
      <c r="A207" s="75">
        <v>1312100946</v>
      </c>
      <c r="B207" s="64" t="s">
        <v>148</v>
      </c>
      <c r="C207" s="63">
        <v>20.37</v>
      </c>
    </row>
    <row r="208" spans="1:3">
      <c r="A208" s="75">
        <v>1312100947</v>
      </c>
      <c r="B208" s="64" t="s">
        <v>148</v>
      </c>
      <c r="C208" s="63">
        <v>20.37</v>
      </c>
    </row>
    <row r="209" spans="1:3">
      <c r="A209" s="75">
        <v>1312100943</v>
      </c>
      <c r="B209" s="64" t="s">
        <v>150</v>
      </c>
      <c r="C209" s="63">
        <v>3.18</v>
      </c>
    </row>
    <row r="210" spans="1:3">
      <c r="A210" s="75">
        <v>1312100944</v>
      </c>
      <c r="B210" s="64" t="s">
        <v>152</v>
      </c>
      <c r="C210" s="63">
        <v>4.05</v>
      </c>
    </row>
    <row r="211" spans="1:3">
      <c r="A211" s="75">
        <v>1312100948</v>
      </c>
      <c r="B211" s="64" t="s">
        <v>153</v>
      </c>
      <c r="C211" s="63">
        <v>3.18</v>
      </c>
    </row>
    <row r="212" spans="1:3">
      <c r="A212" s="75">
        <v>1312100949</v>
      </c>
      <c r="B212" s="64" t="s">
        <v>154</v>
      </c>
      <c r="C212" s="63">
        <v>4.05</v>
      </c>
    </row>
    <row r="213" spans="1:3">
      <c r="A213" s="75">
        <v>1310072293</v>
      </c>
      <c r="B213" s="64" t="s">
        <v>155</v>
      </c>
      <c r="C213" s="63">
        <v>329.3</v>
      </c>
    </row>
    <row r="214" spans="1:3">
      <c r="A214" s="75">
        <v>1310072294</v>
      </c>
      <c r="B214" s="64" t="s">
        <v>155</v>
      </c>
      <c r="C214" s="63">
        <v>474.68</v>
      </c>
    </row>
    <row r="215" spans="1:3">
      <c r="A215" s="75">
        <v>1310072295</v>
      </c>
      <c r="B215" s="64" t="s">
        <v>156</v>
      </c>
      <c r="C215" s="63">
        <v>383.06</v>
      </c>
    </row>
    <row r="216" spans="1:3">
      <c r="A216" s="75">
        <v>1310072373</v>
      </c>
      <c r="B216" s="64" t="s">
        <v>157</v>
      </c>
      <c r="C216" s="63">
        <v>364.81</v>
      </c>
    </row>
    <row r="217" spans="1:3">
      <c r="A217" s="75">
        <v>1310072374</v>
      </c>
      <c r="B217" s="64" t="s">
        <v>157</v>
      </c>
      <c r="C217" s="63">
        <v>499.21</v>
      </c>
    </row>
    <row r="218" spans="1:3">
      <c r="A218" s="75">
        <v>1310072296</v>
      </c>
      <c r="B218" s="64" t="s">
        <v>158</v>
      </c>
      <c r="C218" s="63">
        <v>33.68</v>
      </c>
    </row>
    <row r="219" spans="1:3">
      <c r="A219" s="75">
        <v>1310072297</v>
      </c>
      <c r="B219" s="64" t="s">
        <v>158</v>
      </c>
      <c r="C219" s="63">
        <v>38.36</v>
      </c>
    </row>
    <row r="220" spans="1:3">
      <c r="A220" s="75">
        <v>1310072299</v>
      </c>
      <c r="B220" s="64" t="s">
        <v>159</v>
      </c>
      <c r="C220" s="63">
        <v>67.319999999999993</v>
      </c>
    </row>
    <row r="221" spans="1:3">
      <c r="A221" s="75">
        <v>1310072298</v>
      </c>
      <c r="B221" s="64" t="s">
        <v>160</v>
      </c>
      <c r="C221" s="63">
        <v>119.09</v>
      </c>
    </row>
    <row r="222" spans="1:3">
      <c r="A222" s="75">
        <v>1310072364</v>
      </c>
      <c r="B222" s="64" t="s">
        <v>161</v>
      </c>
      <c r="C222" s="63">
        <v>5.61</v>
      </c>
    </row>
    <row r="223" spans="1:3">
      <c r="A223" s="75">
        <v>1310072366</v>
      </c>
      <c r="B223" s="64" t="s">
        <v>162</v>
      </c>
      <c r="C223" s="63">
        <v>8.82</v>
      </c>
    </row>
    <row r="224" spans="1:3">
      <c r="A224" s="75">
        <v>1310072367</v>
      </c>
      <c r="B224" s="64" t="s">
        <v>163</v>
      </c>
      <c r="C224" s="63">
        <v>5.61</v>
      </c>
    </row>
    <row r="225" spans="1:3">
      <c r="A225" s="75">
        <v>1310072368</v>
      </c>
      <c r="B225" s="64" t="s">
        <v>164</v>
      </c>
      <c r="C225" s="63">
        <v>8.4</v>
      </c>
    </row>
    <row r="226" spans="1:3">
      <c r="A226" s="75">
        <v>1310072379</v>
      </c>
      <c r="B226" s="64" t="s">
        <v>165</v>
      </c>
      <c r="C226" s="63">
        <v>8.1</v>
      </c>
    </row>
    <row r="227" spans="1:3">
      <c r="A227" s="75">
        <v>1310072497</v>
      </c>
      <c r="B227" s="64" t="s">
        <v>166</v>
      </c>
      <c r="C227" s="63">
        <v>7.62</v>
      </c>
    </row>
    <row r="228" spans="1:3">
      <c r="A228" s="75">
        <v>1310072290</v>
      </c>
      <c r="B228" s="64" t="s">
        <v>167</v>
      </c>
      <c r="C228" s="63">
        <v>27.51</v>
      </c>
    </row>
    <row r="229" spans="1:3">
      <c r="A229" s="75">
        <v>1310072292</v>
      </c>
      <c r="B229" s="64" t="s">
        <v>167</v>
      </c>
      <c r="C229" s="63">
        <v>32.33</v>
      </c>
    </row>
    <row r="230" spans="1:3">
      <c r="A230" s="75">
        <v>1312100325</v>
      </c>
      <c r="B230" s="64" t="s">
        <v>65</v>
      </c>
      <c r="C230" s="63">
        <v>0.65</v>
      </c>
    </row>
    <row r="231" spans="1:3">
      <c r="A231" s="75">
        <v>1312100326</v>
      </c>
      <c r="B231" s="64" t="s">
        <v>65</v>
      </c>
      <c r="C231" s="63">
        <v>0.7</v>
      </c>
    </row>
    <row r="232" spans="1:3">
      <c r="A232" s="75">
        <v>1312100335</v>
      </c>
      <c r="B232" s="64" t="s">
        <v>65</v>
      </c>
      <c r="C232" s="63">
        <v>1.54</v>
      </c>
    </row>
    <row r="233" spans="1:3">
      <c r="A233" s="75">
        <v>1310203228</v>
      </c>
      <c r="B233" s="64" t="s">
        <v>65</v>
      </c>
      <c r="C233" s="63">
        <v>4.1500000000000004</v>
      </c>
    </row>
    <row r="234" spans="1:3">
      <c r="A234" s="75">
        <v>1310072403</v>
      </c>
      <c r="B234" s="64" t="s">
        <v>65</v>
      </c>
      <c r="C234" s="63">
        <v>5.0400000000000009</v>
      </c>
    </row>
    <row r="235" spans="1:3">
      <c r="A235" s="75">
        <v>1310201169</v>
      </c>
      <c r="B235" s="64" t="s">
        <v>65</v>
      </c>
      <c r="C235" s="63">
        <v>10.79</v>
      </c>
    </row>
    <row r="236" spans="1:3">
      <c r="A236" s="75">
        <v>1310256325</v>
      </c>
      <c r="B236" s="64" t="s">
        <v>65</v>
      </c>
      <c r="C236" s="63">
        <v>10.51</v>
      </c>
    </row>
    <row r="237" spans="1:3">
      <c r="A237" s="75">
        <v>1310256514</v>
      </c>
      <c r="B237" s="64" t="s">
        <v>65</v>
      </c>
      <c r="C237" s="63">
        <v>26.43</v>
      </c>
    </row>
    <row r="238" spans="1:3">
      <c r="A238" s="75">
        <v>1310256082</v>
      </c>
      <c r="B238" s="64" t="s">
        <v>65</v>
      </c>
      <c r="C238" s="63">
        <v>6.05</v>
      </c>
    </row>
    <row r="239" spans="1:3">
      <c r="A239" s="75">
        <v>1312100950</v>
      </c>
      <c r="B239" s="64" t="s">
        <v>168</v>
      </c>
      <c r="C239" s="63">
        <v>123.57</v>
      </c>
    </row>
    <row r="240" spans="1:3">
      <c r="A240" s="75">
        <v>1312100951</v>
      </c>
      <c r="B240" s="64" t="s">
        <v>168</v>
      </c>
      <c r="C240" s="63">
        <v>144.61000000000001</v>
      </c>
    </row>
    <row r="241" spans="1:3">
      <c r="A241" s="75">
        <v>1312100952</v>
      </c>
      <c r="B241" s="64" t="s">
        <v>168</v>
      </c>
      <c r="C241" s="63">
        <v>165.71</v>
      </c>
    </row>
    <row r="242" spans="1:3">
      <c r="A242" s="75">
        <v>1312100953</v>
      </c>
      <c r="B242" s="64" t="s">
        <v>168</v>
      </c>
      <c r="C242" s="63">
        <v>189.16</v>
      </c>
    </row>
    <row r="243" spans="1:3">
      <c r="A243" s="75">
        <v>1312100954</v>
      </c>
      <c r="B243" s="64" t="s">
        <v>168</v>
      </c>
      <c r="C243" s="63">
        <v>305.82</v>
      </c>
    </row>
    <row r="244" spans="1:3">
      <c r="A244" s="75">
        <v>1312100955</v>
      </c>
      <c r="B244" s="64" t="s">
        <v>168</v>
      </c>
      <c r="C244" s="63">
        <v>470.13</v>
      </c>
    </row>
    <row r="246" spans="1:3">
      <c r="A246" s="75">
        <v>1310074250</v>
      </c>
      <c r="B246" s="64" t="s">
        <v>169</v>
      </c>
      <c r="C246" s="63">
        <v>1.69</v>
      </c>
    </row>
    <row r="247" spans="1:3">
      <c r="A247" s="75">
        <v>1310074413</v>
      </c>
      <c r="B247" s="64" t="s">
        <v>170</v>
      </c>
      <c r="C247" s="63">
        <v>2.64</v>
      </c>
    </row>
    <row r="248" spans="1:3">
      <c r="A248" s="75">
        <v>1310073618</v>
      </c>
      <c r="B248" s="64" t="s">
        <v>171</v>
      </c>
      <c r="C248" s="63">
        <v>2.75</v>
      </c>
    </row>
    <row r="249" spans="1:3">
      <c r="A249" s="75">
        <v>2811017200</v>
      </c>
      <c r="B249" s="64" t="s">
        <v>172</v>
      </c>
      <c r="C249" s="63">
        <v>1.88</v>
      </c>
    </row>
    <row r="250" spans="1:3">
      <c r="A250" s="75">
        <v>2811027200</v>
      </c>
      <c r="B250" s="64" t="s">
        <v>173</v>
      </c>
      <c r="C250" s="63">
        <v>2.12</v>
      </c>
    </row>
    <row r="251" spans="1:3">
      <c r="A251" s="75">
        <v>2811037200</v>
      </c>
      <c r="B251" s="64" t="s">
        <v>174</v>
      </c>
      <c r="C251" s="63">
        <v>2.1800000000000002</v>
      </c>
    </row>
    <row r="252" spans="1:3">
      <c r="A252" s="75">
        <v>1310074482</v>
      </c>
      <c r="B252" s="64" t="s">
        <v>175</v>
      </c>
      <c r="C252" s="63">
        <v>2.2800000000000002</v>
      </c>
    </row>
    <row r="253" spans="1:3">
      <c r="A253" s="75">
        <v>1310074483</v>
      </c>
      <c r="B253" s="64" t="s">
        <v>175</v>
      </c>
      <c r="C253" s="63">
        <v>4.34</v>
      </c>
    </row>
    <row r="254" spans="1:3">
      <c r="A254" s="75">
        <v>2810003610</v>
      </c>
      <c r="B254" s="64" t="s">
        <v>317</v>
      </c>
      <c r="C254" s="63">
        <v>17.78</v>
      </c>
    </row>
    <row r="255" spans="1:3">
      <c r="A255" s="75">
        <v>2810003205</v>
      </c>
      <c r="B255" s="64" t="s">
        <v>176</v>
      </c>
      <c r="C255" s="63">
        <v>86.13</v>
      </c>
    </row>
    <row r="256" spans="1:3">
      <c r="A256" s="75">
        <v>2810013200</v>
      </c>
      <c r="B256" s="64" t="s">
        <v>177</v>
      </c>
      <c r="C256" s="63">
        <v>20.079999999999998</v>
      </c>
    </row>
    <row r="257" spans="1:3">
      <c r="A257" s="75">
        <v>2810003105</v>
      </c>
      <c r="B257" s="64" t="s">
        <v>178</v>
      </c>
      <c r="C257" s="63">
        <v>88.58</v>
      </c>
    </row>
    <row r="258" spans="1:3">
      <c r="A258" s="75">
        <v>2810003005</v>
      </c>
      <c r="B258" s="64" t="s">
        <v>179</v>
      </c>
      <c r="C258" s="63">
        <v>94.43</v>
      </c>
    </row>
    <row r="259" spans="1:3" ht="26">
      <c r="A259" s="75">
        <v>2810003310</v>
      </c>
      <c r="B259" s="77" t="s">
        <v>180</v>
      </c>
      <c r="C259" s="63">
        <v>13.49</v>
      </c>
    </row>
    <row r="260" spans="1:3" ht="26">
      <c r="A260" s="75">
        <v>2810013310</v>
      </c>
      <c r="B260" s="77" t="s">
        <v>180</v>
      </c>
      <c r="C260" s="63">
        <v>14.62</v>
      </c>
    </row>
    <row r="261" spans="1:3" ht="26">
      <c r="A261" s="75">
        <v>2810023310</v>
      </c>
      <c r="B261" s="77" t="s">
        <v>180</v>
      </c>
      <c r="C261" s="63">
        <v>16.18</v>
      </c>
    </row>
    <row r="262" spans="1:3" ht="26">
      <c r="A262" s="75">
        <v>2810033310</v>
      </c>
      <c r="B262" s="77" t="s">
        <v>180</v>
      </c>
      <c r="C262" s="63">
        <v>19.100000000000001</v>
      </c>
    </row>
    <row r="263" spans="1:3">
      <c r="A263" s="75">
        <v>2810003410</v>
      </c>
      <c r="B263" s="64" t="s">
        <v>181</v>
      </c>
      <c r="C263" s="63">
        <v>8.99</v>
      </c>
    </row>
    <row r="264" spans="1:3">
      <c r="A264" s="75">
        <v>2810023805</v>
      </c>
      <c r="B264" s="64" t="s">
        <v>182</v>
      </c>
      <c r="C264" s="63">
        <v>27.02</v>
      </c>
    </row>
    <row r="265" spans="1:3">
      <c r="A265" s="75">
        <v>2810023810</v>
      </c>
      <c r="B265" s="64" t="s">
        <v>183</v>
      </c>
      <c r="C265" s="63">
        <v>53.99</v>
      </c>
    </row>
    <row r="266" spans="1:3">
      <c r="A266" s="75">
        <v>2810033805</v>
      </c>
      <c r="B266" s="64" t="s">
        <v>182</v>
      </c>
      <c r="C266" s="63">
        <v>36.17</v>
      </c>
    </row>
    <row r="267" spans="1:3">
      <c r="A267" s="75">
        <v>2810033810</v>
      </c>
      <c r="B267" s="64" t="s">
        <v>183</v>
      </c>
      <c r="C267" s="63">
        <v>72.34</v>
      </c>
    </row>
    <row r="268" spans="1:3">
      <c r="A268" s="75">
        <v>2810043805</v>
      </c>
      <c r="B268" s="64" t="s">
        <v>184</v>
      </c>
      <c r="C268" s="63">
        <v>27.01</v>
      </c>
    </row>
    <row r="269" spans="1:3">
      <c r="A269" s="75">
        <v>2810043810</v>
      </c>
      <c r="B269" s="64" t="s">
        <v>185</v>
      </c>
      <c r="C269" s="63">
        <v>54.01</v>
      </c>
    </row>
    <row r="270" spans="1:3">
      <c r="A270" s="75">
        <v>2810053805</v>
      </c>
      <c r="B270" s="64" t="s">
        <v>184</v>
      </c>
      <c r="C270" s="63">
        <v>36.71</v>
      </c>
    </row>
    <row r="271" spans="1:3">
      <c r="A271" s="75">
        <v>2810053810</v>
      </c>
      <c r="B271" s="64" t="s">
        <v>185</v>
      </c>
      <c r="C271" s="63">
        <v>73.44</v>
      </c>
    </row>
    <row r="272" spans="1:3">
      <c r="A272" s="75">
        <v>2810063805</v>
      </c>
      <c r="B272" s="64" t="s">
        <v>186</v>
      </c>
      <c r="C272" s="63">
        <v>27.01</v>
      </c>
    </row>
    <row r="273" spans="1:3">
      <c r="A273" s="75">
        <v>2810063810</v>
      </c>
      <c r="B273" s="64" t="s">
        <v>187</v>
      </c>
      <c r="C273" s="63">
        <v>54.01</v>
      </c>
    </row>
    <row r="274" spans="1:3">
      <c r="A274" s="75">
        <v>2810073805</v>
      </c>
      <c r="B274" s="64" t="s">
        <v>186</v>
      </c>
      <c r="C274" s="63">
        <v>40.619999999999997</v>
      </c>
    </row>
    <row r="275" spans="1:3">
      <c r="A275" s="75">
        <v>2810073810</v>
      </c>
      <c r="B275" s="64" t="s">
        <v>187</v>
      </c>
      <c r="C275" s="63">
        <v>73.430000000000007</v>
      </c>
    </row>
    <row r="277" spans="1:3">
      <c r="A277" s="75">
        <v>2810014900</v>
      </c>
      <c r="B277" s="64" t="s">
        <v>188</v>
      </c>
      <c r="C277" s="63">
        <v>41.46</v>
      </c>
    </row>
    <row r="278" spans="1:3">
      <c r="A278" s="75">
        <v>2811102800</v>
      </c>
      <c r="B278" s="64" t="s">
        <v>189</v>
      </c>
      <c r="C278" s="63">
        <v>13.5</v>
      </c>
    </row>
    <row r="279" spans="1:3">
      <c r="A279" s="75">
        <v>2811202800</v>
      </c>
      <c r="B279" s="64" t="s">
        <v>189</v>
      </c>
      <c r="C279" s="63">
        <v>15</v>
      </c>
    </row>
    <row r="280" spans="1:3">
      <c r="A280" s="75">
        <v>2811402800</v>
      </c>
      <c r="B280" s="64" t="s">
        <v>189</v>
      </c>
      <c r="C280" s="63">
        <v>37.5</v>
      </c>
    </row>
    <row r="281" spans="1:3">
      <c r="A281" s="75">
        <v>2811502800</v>
      </c>
      <c r="B281" s="64" t="s">
        <v>189</v>
      </c>
      <c r="C281" s="63">
        <v>37.5</v>
      </c>
    </row>
    <row r="282" spans="1:3">
      <c r="A282" s="75">
        <v>2810602800</v>
      </c>
      <c r="B282" s="64" t="s">
        <v>190</v>
      </c>
      <c r="C282" s="63">
        <v>37.5</v>
      </c>
    </row>
    <row r="283" spans="1:3">
      <c r="A283" s="75">
        <v>2810702800</v>
      </c>
      <c r="B283" s="64" t="s">
        <v>190</v>
      </c>
      <c r="C283" s="63">
        <v>37.5</v>
      </c>
    </row>
    <row r="284" spans="1:3">
      <c r="A284" s="75">
        <v>2810802800</v>
      </c>
      <c r="B284" s="64" t="s">
        <v>191</v>
      </c>
      <c r="C284" s="63">
        <v>35.57</v>
      </c>
    </row>
    <row r="285" spans="1:3">
      <c r="A285" s="75">
        <v>2811002980</v>
      </c>
      <c r="B285" s="64" t="s">
        <v>192</v>
      </c>
      <c r="C285" s="63">
        <v>7.75</v>
      </c>
    </row>
    <row r="286" spans="1:3">
      <c r="A286" s="75">
        <v>2810004000</v>
      </c>
      <c r="B286" s="64" t="s">
        <v>193</v>
      </c>
      <c r="C286" s="63">
        <v>118.63</v>
      </c>
    </row>
    <row r="287" spans="1:3">
      <c r="A287" s="75">
        <v>2810014000</v>
      </c>
      <c r="B287" s="64" t="s">
        <v>193</v>
      </c>
      <c r="C287" s="63">
        <v>181.57</v>
      </c>
    </row>
    <row r="288" spans="1:3" ht="26">
      <c r="A288" s="75">
        <v>2810034000</v>
      </c>
      <c r="B288" s="77" t="s">
        <v>194</v>
      </c>
      <c r="C288" s="63">
        <v>39.9</v>
      </c>
    </row>
    <row r="289" spans="1:3" ht="26">
      <c r="A289" s="75">
        <v>2810044000</v>
      </c>
      <c r="B289" s="77" t="s">
        <v>194</v>
      </c>
      <c r="C289" s="63">
        <v>35.57</v>
      </c>
    </row>
    <row r="290" spans="1:3">
      <c r="A290" s="75">
        <v>2810004100</v>
      </c>
      <c r="B290" s="64" t="s">
        <v>195</v>
      </c>
      <c r="C290" s="63">
        <v>34.71</v>
      </c>
    </row>
    <row r="291" spans="1:3">
      <c r="A291" s="75">
        <v>2810014100</v>
      </c>
      <c r="B291" s="64" t="s">
        <v>195</v>
      </c>
      <c r="C291" s="63">
        <v>99.26</v>
      </c>
    </row>
    <row r="292" spans="1:3">
      <c r="A292" s="75">
        <v>2810074100</v>
      </c>
      <c r="B292" s="64" t="s">
        <v>195</v>
      </c>
      <c r="C292" s="63">
        <v>282.62</v>
      </c>
    </row>
    <row r="293" spans="1:3">
      <c r="A293" s="75">
        <v>2810004200</v>
      </c>
      <c r="B293" s="64" t="s">
        <v>196</v>
      </c>
      <c r="C293" s="63">
        <v>25.55</v>
      </c>
    </row>
    <row r="294" spans="1:3">
      <c r="A294" s="75">
        <v>2810064100</v>
      </c>
      <c r="B294" s="64" t="s">
        <v>196</v>
      </c>
      <c r="C294" s="63">
        <v>54.65</v>
      </c>
    </row>
    <row r="295" spans="1:3">
      <c r="A295" s="75">
        <v>462709421</v>
      </c>
      <c r="B295" s="64" t="s">
        <v>197</v>
      </c>
      <c r="C295" s="63">
        <v>462.86</v>
      </c>
    </row>
    <row r="296" spans="1:3">
      <c r="A296" s="75">
        <v>462101105</v>
      </c>
      <c r="B296" s="64" t="s">
        <v>198</v>
      </c>
      <c r="C296" s="63">
        <v>308.58999999999997</v>
      </c>
    </row>
    <row r="297" spans="1:3">
      <c r="A297" s="75">
        <v>2810014800</v>
      </c>
      <c r="B297" s="64" t="s">
        <v>199</v>
      </c>
      <c r="C297" s="63">
        <v>20.74</v>
      </c>
    </row>
    <row r="298" spans="1:3" ht="26">
      <c r="A298" s="75">
        <v>1312100945</v>
      </c>
      <c r="B298" s="77" t="s">
        <v>200</v>
      </c>
      <c r="C298" s="63">
        <v>67.599999999999994</v>
      </c>
    </row>
    <row r="299" spans="1:3">
      <c r="A299" s="75">
        <v>2810004300</v>
      </c>
      <c r="B299" s="64" t="s">
        <v>201</v>
      </c>
      <c r="C299" s="63">
        <v>10.23</v>
      </c>
    </row>
    <row r="300" spans="1:3">
      <c r="A300" s="75">
        <v>2810014300</v>
      </c>
      <c r="B300" s="64" t="s">
        <v>201</v>
      </c>
      <c r="C300" s="63">
        <v>10.23</v>
      </c>
    </row>
    <row r="301" spans="1:3">
      <c r="A301" s="75">
        <v>2810024300</v>
      </c>
      <c r="B301" s="64" t="s">
        <v>202</v>
      </c>
      <c r="C301" s="63">
        <v>10.23</v>
      </c>
    </row>
    <row r="302" spans="1:3">
      <c r="A302" s="75">
        <v>2810004400</v>
      </c>
      <c r="B302" s="64" t="s">
        <v>203</v>
      </c>
      <c r="C302" s="63">
        <v>25.57</v>
      </c>
    </row>
    <row r="303" spans="1:3">
      <c r="A303" s="75">
        <v>2810004800</v>
      </c>
      <c r="B303" s="64" t="s">
        <v>204</v>
      </c>
      <c r="C303" s="63">
        <v>2.2200000000000002</v>
      </c>
    </row>
    <row r="304" spans="1:3">
      <c r="A304" s="75">
        <v>2811014900</v>
      </c>
      <c r="B304" s="64" t="s">
        <v>205</v>
      </c>
      <c r="C304" s="63">
        <v>1.46</v>
      </c>
    </row>
  </sheetData>
  <sheetProtection algorithmName="SHA-512" hashValue="YdTN3Kd0Rjhrsj8O5uvHRWKDvL0GOm+ijL34LjXRVxb1J+Mb3EqT91q/vq4v6ixfKB1D9DAuf0sdtooQ1El8Qg==" saltValue="cD+FFyALZTmnSbCSG2H0ew==" spinCount="100000" sheet="1" selectLockedCells="1" selectUn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outlinePr showOutlineSymbols="0"/>
    <pageSetUpPr autoPageBreaks="0"/>
  </sheetPr>
  <dimension ref="A1:U36"/>
  <sheetViews>
    <sheetView showGridLines="0" showRowColHeaders="0" tabSelected="1" showOutlineSymbols="0" zoomScale="65" zoomScaleNormal="65" workbookViewId="0">
      <selection activeCell="A4" sqref="A4"/>
    </sheetView>
  </sheetViews>
  <sheetFormatPr defaultColWidth="0" defaultRowHeight="14.5" zeroHeight="1"/>
  <cols>
    <col min="1" max="1" width="1.81640625" customWidth="1"/>
    <col min="2" max="2" width="22.453125" style="33" customWidth="1"/>
    <col min="3" max="3" width="0.90625" customWidth="1"/>
    <col min="4" max="4" width="22.453125" customWidth="1"/>
    <col min="5" max="5" width="0.90625" customWidth="1"/>
    <col min="6" max="6" width="22.453125" customWidth="1"/>
    <col min="7" max="7" width="0.90625" customWidth="1"/>
    <col min="8" max="8" width="22.453125" customWidth="1"/>
    <col min="9" max="9" width="0.90625" customWidth="1"/>
    <col min="10" max="10" width="22.453125" customWidth="1"/>
    <col min="11" max="11" width="0.90625" customWidth="1"/>
    <col min="12" max="12" width="22.453125" customWidth="1"/>
    <col min="13" max="13" width="0.90625" customWidth="1"/>
    <col min="14" max="14" width="22.453125" customWidth="1"/>
    <col min="15" max="15" width="0.90625" customWidth="1"/>
    <col min="16" max="16" width="22.453125" customWidth="1"/>
    <col min="17" max="17" width="1.81640625" customWidth="1"/>
    <col min="18" max="18" width="22.453125" hidden="1" customWidth="1"/>
    <col min="19" max="19" width="0.90625" hidden="1" customWidth="1"/>
    <col min="20" max="20" width="22.453125" hidden="1" customWidth="1"/>
    <col min="21" max="21" width="0.90625" hidden="1" customWidth="1"/>
    <col min="22" max="16384" width="8.90625" hidden="1"/>
  </cols>
  <sheetData>
    <row r="1" spans="1:17" ht="7.75" customHeight="1">
      <c r="A1" s="363"/>
      <c r="B1" s="363"/>
      <c r="C1" s="363"/>
      <c r="D1" s="363"/>
      <c r="E1" s="363"/>
      <c r="F1" s="363"/>
      <c r="G1" s="363"/>
      <c r="H1" s="363"/>
      <c r="I1" s="363"/>
      <c r="J1" s="363"/>
      <c r="K1" s="363"/>
      <c r="L1" s="363"/>
      <c r="M1" s="363"/>
      <c r="N1" s="363"/>
      <c r="O1" s="363"/>
      <c r="P1" s="363"/>
      <c r="Q1" s="363"/>
    </row>
    <row r="2" spans="1:17" ht="89.4" customHeight="1">
      <c r="A2" s="363"/>
      <c r="B2" s="363"/>
      <c r="C2" s="363"/>
      <c r="D2" s="363"/>
      <c r="E2" s="363"/>
      <c r="F2" s="363"/>
      <c r="G2" s="363"/>
      <c r="H2" s="363"/>
      <c r="I2" s="363"/>
      <c r="J2" s="363"/>
      <c r="K2" s="363"/>
      <c r="L2" s="363"/>
      <c r="M2" s="363"/>
      <c r="N2" s="363"/>
      <c r="O2" s="363"/>
      <c r="P2" s="363"/>
      <c r="Q2" s="363"/>
    </row>
    <row r="3" spans="1:17" ht="43.25" customHeight="1">
      <c r="A3" s="363"/>
      <c r="B3" s="363"/>
      <c r="C3" s="363"/>
      <c r="D3" s="363"/>
      <c r="E3" s="363"/>
      <c r="F3" s="363"/>
      <c r="G3" s="363"/>
      <c r="H3" s="363"/>
      <c r="I3" s="363"/>
      <c r="J3" s="363"/>
      <c r="K3" s="363"/>
      <c r="L3" s="363"/>
      <c r="M3" s="363"/>
      <c r="N3" s="363"/>
      <c r="O3" s="363"/>
      <c r="P3" s="363"/>
      <c r="Q3" s="363"/>
    </row>
    <row r="4" spans="1:17" s="62" customFormat="1" ht="7.5" customHeight="1">
      <c r="A4" s="112"/>
      <c r="B4" s="33"/>
      <c r="C4"/>
      <c r="D4"/>
      <c r="E4"/>
      <c r="F4"/>
      <c r="G4"/>
      <c r="H4"/>
      <c r="I4"/>
      <c r="J4"/>
      <c r="K4"/>
      <c r="L4"/>
      <c r="M4"/>
      <c r="N4"/>
      <c r="O4"/>
      <c r="P4"/>
      <c r="Q4"/>
    </row>
    <row r="5" spans="1:17" s="62" customFormat="1" ht="104.25" customHeight="1">
      <c r="A5"/>
      <c r="B5" s="32"/>
      <c r="C5"/>
      <c r="D5"/>
      <c r="E5"/>
      <c r="F5"/>
      <c r="G5"/>
      <c r="H5" s="132"/>
      <c r="I5" s="132"/>
      <c r="J5" s="132"/>
      <c r="K5" s="132"/>
      <c r="L5" s="132"/>
      <c r="M5" s="132"/>
      <c r="N5" s="132"/>
      <c r="O5" s="132"/>
      <c r="P5" s="132"/>
      <c r="Q5" s="132"/>
    </row>
    <row r="6" spans="1:17" ht="7.5" customHeight="1"/>
    <row r="7" spans="1:17" ht="104.25" customHeight="1">
      <c r="B7" s="34" t="s">
        <v>269</v>
      </c>
    </row>
    <row r="8" spans="1:17" ht="7.5" customHeight="1"/>
    <row r="9" spans="1:17" ht="104.25" customHeight="1">
      <c r="B9" s="34" t="s">
        <v>270</v>
      </c>
    </row>
    <row r="10" spans="1:17" ht="7.5" customHeight="1"/>
    <row r="11" spans="1:17" ht="104.25" customHeight="1">
      <c r="B11" s="34" t="s">
        <v>267</v>
      </c>
    </row>
    <row r="12" spans="1:17" ht="7.5" customHeight="1"/>
    <row r="13" spans="1:17" ht="104.25" customHeight="1">
      <c r="B13" s="34"/>
      <c r="P13" s="150"/>
    </row>
    <row r="14" spans="1:17" ht="7.5" customHeight="1"/>
    <row r="15" spans="1:17" ht="104.25" customHeight="1">
      <c r="B15" s="34"/>
    </row>
    <row r="16" spans="1:17" ht="7.5" customHeight="1">
      <c r="B16" s="34"/>
    </row>
    <row r="17" spans="1:17" s="133" customFormat="1" ht="104.25" customHeight="1">
      <c r="A17"/>
      <c r="B17" s="34" t="s">
        <v>278</v>
      </c>
      <c r="C17"/>
      <c r="D17"/>
      <c r="E17"/>
      <c r="F17"/>
      <c r="G17"/>
      <c r="H17"/>
      <c r="I17"/>
      <c r="J17"/>
      <c r="K17"/>
      <c r="L17" s="132"/>
      <c r="M17" s="132"/>
      <c r="N17" s="132"/>
      <c r="O17" s="132"/>
      <c r="P17" s="132"/>
      <c r="Q17"/>
    </row>
    <row r="18" spans="1:17" ht="7.5" customHeight="1"/>
    <row r="19" spans="1:17" ht="104.25" customHeight="1">
      <c r="B19" s="34" t="s">
        <v>268</v>
      </c>
    </row>
    <row r="20" spans="1:17" ht="7.5" customHeight="1">
      <c r="B20" s="34"/>
    </row>
    <row r="21" spans="1:17" ht="104.25" customHeight="1">
      <c r="B21" s="34" t="s">
        <v>66</v>
      </c>
      <c r="L21" s="132"/>
      <c r="M21" s="132"/>
      <c r="N21" s="132"/>
      <c r="O21" s="132"/>
      <c r="P21" s="132"/>
    </row>
    <row r="22" spans="1:17" ht="7.5" customHeight="1"/>
    <row r="23" spans="1:17" ht="104.25" customHeight="1">
      <c r="B23" s="34" t="s">
        <v>145</v>
      </c>
    </row>
    <row r="24" spans="1:17" ht="7.5" customHeight="1"/>
    <row r="25" spans="1:17" ht="104.25" customHeight="1">
      <c r="B25" s="34" t="s">
        <v>62</v>
      </c>
      <c r="F25" s="132"/>
      <c r="G25" s="132"/>
      <c r="H25" s="132"/>
      <c r="I25" s="132"/>
      <c r="J25" s="132"/>
      <c r="K25" s="132"/>
      <c r="L25" s="132"/>
      <c r="N25" s="132"/>
      <c r="O25" s="132"/>
      <c r="P25" s="132"/>
    </row>
    <row r="26" spans="1:17" ht="7.5" customHeight="1">
      <c r="B26" s="34"/>
    </row>
    <row r="27" spans="1:17" ht="125.4" customHeight="1">
      <c r="A27" s="244"/>
      <c r="B27" s="245"/>
      <c r="C27" s="244"/>
      <c r="D27" s="244"/>
      <c r="E27" s="244"/>
      <c r="F27" s="244"/>
      <c r="G27" s="244"/>
      <c r="H27" s="244"/>
      <c r="I27" s="244"/>
      <c r="J27" s="244"/>
      <c r="K27" s="244"/>
      <c r="L27" s="244"/>
      <c r="M27" s="244"/>
      <c r="N27" s="244"/>
      <c r="O27" s="244"/>
      <c r="P27" s="244"/>
      <c r="Q27" s="244"/>
    </row>
    <row r="28" spans="1:17" ht="7.5" hidden="1" customHeight="1"/>
    <row r="29" spans="1:17" ht="104.25" hidden="1" customHeight="1"/>
    <row r="30" spans="1:17" ht="7.5" hidden="1" customHeight="1"/>
    <row r="31" spans="1:17" ht="104.25" hidden="1" customHeight="1"/>
    <row r="32" spans="1:17" ht="7.5" hidden="1" customHeight="1"/>
    <row r="33" ht="104.25" hidden="1" customHeight="1"/>
    <row r="34" ht="7.5" hidden="1" customHeight="1"/>
    <row r="35" ht="104.25" hidden="1" customHeight="1"/>
    <row r="36" ht="7.5" hidden="1" customHeight="1"/>
  </sheetData>
  <sheetProtection algorithmName="SHA-512" hashValue="BUWm0khO7kn0BdN57K9nVdQABYURtNWK6G+r7/y7w9Kp+9v2EJGTurB/mxQzObjXVc8NYrZavzG1sAlwrKrmUA==" saltValue="P0qOPnLpkFatdt5wjkCR9g==" spinCount="100000" sheet="1" selectLockedCells="1"/>
  <mergeCells count="1">
    <mergeCell ref="A1:Q3"/>
  </mergeCells>
  <pageMargins left="0.7" right="0.7" top="0.75" bottom="0.75" header="0.3" footer="0.3"/>
  <pageSetup paperSize="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5"/>
    <outlinePr showOutlineSymbols="0"/>
    <pageSetUpPr autoPageBreaks="0" fitToPage="1"/>
  </sheetPr>
  <dimension ref="A1:V518"/>
  <sheetViews>
    <sheetView showGridLines="0" showRowColHeaders="0" showZeros="0" showOutlineSymbols="0" zoomScaleNormal="100" workbookViewId="0">
      <selection activeCell="H1" sqref="H1"/>
    </sheetView>
  </sheetViews>
  <sheetFormatPr defaultColWidth="0" defaultRowHeight="14.4" customHeight="1" zeroHeight="1"/>
  <cols>
    <col min="1" max="1" width="3.36328125" customWidth="1"/>
    <col min="2" max="2" width="13.81640625" style="258" customWidth="1"/>
    <col min="3" max="3" width="26.54296875" style="55" bestFit="1" customWidth="1"/>
    <col min="4" max="4" width="20.1796875" style="53" bestFit="1" customWidth="1"/>
    <col min="5" max="5" width="24.36328125" style="55" customWidth="1"/>
    <col min="6" max="6" width="6.36328125" style="53" customWidth="1"/>
    <col min="7" max="7" width="11.08984375" style="58" bestFit="1" customWidth="1"/>
    <col min="8" max="8" width="5.08984375" style="53" customWidth="1"/>
    <col min="9" max="9" width="14.1796875" style="54" customWidth="1"/>
    <col min="10" max="10" width="3.36328125" style="1" customWidth="1"/>
    <col min="11" max="11" width="3.1796875" hidden="1" customWidth="1"/>
    <col min="12" max="12" width="8.90625" style="36" hidden="1" customWidth="1"/>
    <col min="13" max="13" width="5.90625" style="36" hidden="1" customWidth="1"/>
    <col min="14" max="14" width="29.453125" hidden="1" customWidth="1"/>
    <col min="15" max="15" width="2" hidden="1" customWidth="1"/>
    <col min="16" max="16" width="10.81640625" style="2" hidden="1" customWidth="1"/>
    <col min="17" max="17" width="11.08984375" style="29" hidden="1" customWidth="1"/>
    <col min="18" max="18" width="12.08984375" style="29" hidden="1" customWidth="1"/>
    <col min="19" max="19" width="13" style="2" hidden="1" customWidth="1"/>
    <col min="20" max="20" width="19.36328125" style="2" hidden="1" customWidth="1"/>
    <col min="21" max="21" width="43.54296875" hidden="1" customWidth="1"/>
    <col min="22" max="22" width="13.90625" style="2" hidden="1" customWidth="1"/>
    <col min="23" max="16384" width="8.90625" hidden="1"/>
  </cols>
  <sheetData>
    <row r="1" spans="1:22" ht="24.65" customHeight="1">
      <c r="B1" s="253"/>
      <c r="C1" s="9"/>
      <c r="D1" s="47"/>
      <c r="E1" s="9"/>
      <c r="F1" s="47"/>
      <c r="G1" s="68"/>
      <c r="H1" s="147"/>
      <c r="I1" s="146"/>
      <c r="J1" s="145"/>
      <c r="Q1" s="28"/>
      <c r="R1" s="28"/>
    </row>
    <row r="2" spans="1:22" ht="22.75" customHeight="1">
      <c r="B2" s="254"/>
      <c r="C2" s="9"/>
      <c r="D2" s="47"/>
      <c r="E2" s="102"/>
      <c r="F2" s="56"/>
      <c r="G2" s="67"/>
      <c r="H2" s="148"/>
      <c r="I2" s="148"/>
      <c r="J2" s="149"/>
      <c r="K2" s="52"/>
      <c r="Q2" s="28"/>
      <c r="R2" s="28"/>
    </row>
    <row r="3" spans="1:22" s="49" customFormat="1" ht="45" customHeight="1">
      <c r="A3" s="364"/>
      <c r="B3" s="364"/>
      <c r="C3" s="364"/>
      <c r="D3" s="364"/>
      <c r="E3" s="103"/>
      <c r="G3" s="105"/>
      <c r="H3" s="365">
        <f>SUM(I6:I211)</f>
        <v>0</v>
      </c>
      <c r="I3" s="365"/>
      <c r="J3" s="104"/>
      <c r="K3" s="51"/>
      <c r="L3" s="50"/>
      <c r="M3" s="36">
        <v>1</v>
      </c>
      <c r="N3" s="2">
        <v>2</v>
      </c>
      <c r="O3" s="2">
        <v>3</v>
      </c>
      <c r="P3" s="2">
        <v>4</v>
      </c>
      <c r="Q3" s="106">
        <v>5</v>
      </c>
      <c r="R3" s="106">
        <v>6</v>
      </c>
      <c r="S3" s="2">
        <v>7</v>
      </c>
      <c r="T3" s="2">
        <v>8</v>
      </c>
      <c r="U3" s="2">
        <v>9</v>
      </c>
      <c r="V3" s="2">
        <v>10</v>
      </c>
    </row>
    <row r="4" spans="1:22" s="2" customFormat="1" ht="27" customHeight="1">
      <c r="B4" s="255"/>
      <c r="C4" s="48"/>
      <c r="D4" s="48"/>
      <c r="E4" s="57"/>
      <c r="F4" s="57"/>
      <c r="G4" s="79"/>
      <c r="H4" s="79"/>
      <c r="I4" s="79"/>
      <c r="J4" s="78"/>
      <c r="K4"/>
      <c r="L4" s="83" t="s">
        <v>296</v>
      </c>
      <c r="M4" s="37" t="s">
        <v>297</v>
      </c>
      <c r="N4" s="45" t="s">
        <v>43</v>
      </c>
      <c r="O4" s="45"/>
      <c r="P4" s="45" t="s">
        <v>285</v>
      </c>
      <c r="Q4" s="88" t="s">
        <v>206</v>
      </c>
      <c r="R4" s="88" t="s">
        <v>266</v>
      </c>
      <c r="S4" s="45" t="s">
        <v>100</v>
      </c>
      <c r="T4" s="45" t="s">
        <v>1</v>
      </c>
      <c r="U4" s="46" t="s">
        <v>318</v>
      </c>
      <c r="V4" s="45" t="s">
        <v>286</v>
      </c>
    </row>
    <row r="5" spans="1:22" ht="32.4" customHeight="1">
      <c r="A5" s="69"/>
      <c r="B5" s="366" t="s">
        <v>366</v>
      </c>
      <c r="C5" s="366"/>
      <c r="D5" s="366"/>
      <c r="E5" s="366"/>
      <c r="F5" s="366"/>
      <c r="G5" s="366"/>
      <c r="H5" s="366"/>
      <c r="I5" s="366"/>
      <c r="J5" s="69"/>
      <c r="L5" s="83"/>
      <c r="M5" s="37"/>
      <c r="N5" s="38"/>
      <c r="O5" s="38"/>
      <c r="P5" s="45"/>
      <c r="Q5" s="89"/>
      <c r="R5" s="89"/>
      <c r="S5" s="45"/>
      <c r="T5" s="45"/>
      <c r="U5" s="46" t="s">
        <v>293</v>
      </c>
      <c r="V5" s="45"/>
    </row>
    <row r="6" spans="1:22" ht="14.5">
      <c r="A6" s="69"/>
      <c r="B6" s="256" t="str">
        <f>IF(ISERROR(VLOOKUP(L6,$M$6:$V$612,7,0)),"",(VLOOKUP(L6,$M$6:$V612,7,0)))</f>
        <v/>
      </c>
      <c r="C6" s="140" t="str">
        <f t="shared" ref="C6:C37" si="0">IF(ISERROR(VLOOKUP(L6,$M$6:$V$612,2,0)),"",(VLOOKUP(L6,$M$6:$V$612,2,0)))</f>
        <v/>
      </c>
      <c r="D6" s="141" t="str">
        <f t="shared" ref="D6:D37" si="1">IF(ISERROR(VLOOKUP(L6,$M$6:$V$612,8,0)),"",(VLOOKUP(L6,$M$6:$V$612,8,0)))</f>
        <v/>
      </c>
      <c r="E6" s="140" t="str">
        <f t="shared" ref="E6:E37" si="2">IF(ISERROR(VLOOKUP(L6,$M$6:$V$612,9,FALSE)),"",(VLOOKUP(L6,$M$6:$V$612,9,0)))</f>
        <v/>
      </c>
      <c r="F6" s="141" t="str">
        <f t="shared" ref="F6:F37" si="3">IF(ISERROR(VLOOKUP(L6,$M$6:$V$612,10,0)),"",(VLOOKUP(L6,$M$6:$V$612,10,0)))</f>
        <v/>
      </c>
      <c r="G6" s="142" t="str">
        <f t="shared" ref="G6:G37" si="4">IF(ISERROR(VLOOKUP(L6,$M$6:$V$612,5,0)),"",(VLOOKUP(L6,$M$6:$V$612,5,0)))</f>
        <v/>
      </c>
      <c r="H6" s="143" t="str">
        <f t="shared" ref="H6:H37" si="5">IF(ISERROR(VLOOKUP(L6,$M$6:$V$612,4,0)),"",(VLOOKUP(L6,$M$6:$V$612,4,0)))</f>
        <v/>
      </c>
      <c r="I6" s="144" t="str">
        <f t="shared" ref="I6:I37" si="6">IF(ISERROR(VLOOKUP(L6,$M$6:$V$612,6,0)),"",(VLOOKUP(L6,$M$6:$V$612,6,0)))</f>
        <v/>
      </c>
      <c r="J6" s="82"/>
      <c r="L6" s="2">
        <v>1</v>
      </c>
      <c r="M6" s="39">
        <f>IF(P6&gt;0,1,0)</f>
        <v>0</v>
      </c>
      <c r="N6" s="40" t="str">
        <f>PIPE!$B$3</f>
        <v>Pipe</v>
      </c>
      <c r="O6" s="41"/>
      <c r="P6" s="39">
        <f>PIPE!H4</f>
        <v>0</v>
      </c>
      <c r="Q6" s="90">
        <f>PIPE!I4</f>
        <v>52.83</v>
      </c>
      <c r="R6" s="90">
        <f>PIPE!K4</f>
        <v>0</v>
      </c>
      <c r="S6" s="39">
        <f>PIPE!D4</f>
        <v>2811100000</v>
      </c>
      <c r="T6" s="39" t="str">
        <f>PIPE!E4</f>
        <v>20 / ¾"</v>
      </c>
      <c r="U6" s="40" t="str">
        <f>PIPE!F4</f>
        <v>18 ft 8 inch</v>
      </c>
      <c r="V6" s="39">
        <f>PIPE!G4</f>
        <v>1</v>
      </c>
    </row>
    <row r="7" spans="1:22" ht="14.5">
      <c r="A7" s="69"/>
      <c r="B7" s="256" t="str">
        <f>IF(ISERROR(VLOOKUP(L7,$M$6:$V$612,7,0)),"",(VLOOKUP(L7,$M$6:$V613,7,0)))</f>
        <v/>
      </c>
      <c r="C7" s="140" t="str">
        <f t="shared" si="0"/>
        <v/>
      </c>
      <c r="D7" s="141" t="str">
        <f t="shared" si="1"/>
        <v/>
      </c>
      <c r="E7" s="140" t="str">
        <f t="shared" si="2"/>
        <v/>
      </c>
      <c r="F7" s="141" t="str">
        <f t="shared" si="3"/>
        <v/>
      </c>
      <c r="G7" s="142" t="str">
        <f t="shared" si="4"/>
        <v/>
      </c>
      <c r="H7" s="143" t="str">
        <f t="shared" si="5"/>
        <v/>
      </c>
      <c r="I7" s="144" t="str">
        <f t="shared" si="6"/>
        <v/>
      </c>
      <c r="J7" s="82"/>
      <c r="L7" s="36">
        <v>2</v>
      </c>
      <c r="M7" s="39">
        <f>IF(P7&gt;0,M6+1,M6)</f>
        <v>0</v>
      </c>
      <c r="N7" s="40" t="str">
        <f>PIPE!$B$3</f>
        <v>Pipe</v>
      </c>
      <c r="O7" s="41"/>
      <c r="P7" s="39">
        <f>PIPE!H5</f>
        <v>0</v>
      </c>
      <c r="Q7" s="90">
        <f>PIPE!I5</f>
        <v>81.260000000000005</v>
      </c>
      <c r="R7" s="90">
        <f>PIPE!K5</f>
        <v>0</v>
      </c>
      <c r="S7" s="39">
        <f>PIPE!D5</f>
        <v>2811200000</v>
      </c>
      <c r="T7" s="39" t="str">
        <f>PIPE!E5</f>
        <v>25 / 1"</v>
      </c>
      <c r="U7" s="40" t="str">
        <f>PIPE!F5</f>
        <v>18 ft 8 inch</v>
      </c>
      <c r="V7" s="39">
        <f>PIPE!G5</f>
        <v>1</v>
      </c>
    </row>
    <row r="8" spans="1:22" ht="14.5">
      <c r="A8" s="69"/>
      <c r="B8" s="256" t="str">
        <f>IF(ISERROR(VLOOKUP(L8,$M$6:$V$612,7,0)),"",(VLOOKUP(L8,$M$6:$V614,7,0)))</f>
        <v/>
      </c>
      <c r="C8" s="140" t="str">
        <f t="shared" si="0"/>
        <v/>
      </c>
      <c r="D8" s="141" t="str">
        <f t="shared" si="1"/>
        <v/>
      </c>
      <c r="E8" s="140" t="str">
        <f t="shared" si="2"/>
        <v/>
      </c>
      <c r="F8" s="141" t="str">
        <f t="shared" si="3"/>
        <v/>
      </c>
      <c r="G8" s="142" t="str">
        <f t="shared" si="4"/>
        <v/>
      </c>
      <c r="H8" s="143" t="str">
        <f t="shared" si="5"/>
        <v/>
      </c>
      <c r="I8" s="144" t="str">
        <f t="shared" si="6"/>
        <v/>
      </c>
      <c r="J8" s="82"/>
      <c r="L8" s="36">
        <v>3</v>
      </c>
      <c r="M8" s="39">
        <f t="shared" ref="M8:M71" si="7">IF(P8&gt;0,M7+1,M7)</f>
        <v>0</v>
      </c>
      <c r="N8" s="40" t="str">
        <f>PIPE!$B$3</f>
        <v>Pipe</v>
      </c>
      <c r="O8" s="41"/>
      <c r="P8" s="39">
        <f>PIPE!H6</f>
        <v>0</v>
      </c>
      <c r="Q8" s="90">
        <f>PIPE!I6</f>
        <v>120.92</v>
      </c>
      <c r="R8" s="90">
        <f>PIPE!K6</f>
        <v>0</v>
      </c>
      <c r="S8" s="39">
        <f>PIPE!D6</f>
        <v>2811400000</v>
      </c>
      <c r="T8" s="39" t="str">
        <f>PIPE!E6</f>
        <v>40 / 1½"</v>
      </c>
      <c r="U8" s="40" t="str">
        <f>PIPE!F6</f>
        <v>18 ft 8 inch</v>
      </c>
      <c r="V8" s="39">
        <f>PIPE!G6</f>
        <v>1</v>
      </c>
    </row>
    <row r="9" spans="1:22" ht="14.5">
      <c r="A9" s="69"/>
      <c r="B9" s="256" t="str">
        <f>IF(ISERROR(VLOOKUP(L9,$M$6:$V$612,7,0)),"",(VLOOKUP(L9,$M$6:$V615,7,0)))</f>
        <v/>
      </c>
      <c r="C9" s="140" t="str">
        <f t="shared" si="0"/>
        <v/>
      </c>
      <c r="D9" s="141" t="str">
        <f t="shared" si="1"/>
        <v/>
      </c>
      <c r="E9" s="140" t="str">
        <f t="shared" si="2"/>
        <v/>
      </c>
      <c r="F9" s="141" t="str">
        <f t="shared" si="3"/>
        <v/>
      </c>
      <c r="G9" s="142" t="str">
        <f t="shared" si="4"/>
        <v/>
      </c>
      <c r="H9" s="143" t="str">
        <f t="shared" si="5"/>
        <v/>
      </c>
      <c r="I9" s="144" t="str">
        <f t="shared" si="6"/>
        <v/>
      </c>
      <c r="J9" s="82"/>
      <c r="L9" s="36">
        <v>4</v>
      </c>
      <c r="M9" s="39">
        <f t="shared" si="7"/>
        <v>0</v>
      </c>
      <c r="N9" s="40" t="str">
        <f>PIPE!$B$3</f>
        <v>Pipe</v>
      </c>
      <c r="O9" s="41"/>
      <c r="P9" s="39">
        <f>PIPE!H7</f>
        <v>0</v>
      </c>
      <c r="Q9" s="90">
        <f>PIPE!I7</f>
        <v>154.22999999999999</v>
      </c>
      <c r="R9" s="90">
        <f>PIPE!K7</f>
        <v>0</v>
      </c>
      <c r="S9" s="39">
        <f>PIPE!D7</f>
        <v>2811500000</v>
      </c>
      <c r="T9" s="39" t="str">
        <f>PIPE!E7</f>
        <v>50 / 2"</v>
      </c>
      <c r="U9" s="40" t="str">
        <f>PIPE!F7</f>
        <v>18 ft 8 inch</v>
      </c>
      <c r="V9" s="39">
        <f>PIPE!G7</f>
        <v>1</v>
      </c>
    </row>
    <row r="10" spans="1:22" ht="14.5">
      <c r="A10" s="69"/>
      <c r="B10" s="256" t="str">
        <f>IF(ISERROR(VLOOKUP(L10,$M$6:$V$612,7,0)),"",(VLOOKUP(L10,$M$6:$V616,7,0)))</f>
        <v/>
      </c>
      <c r="C10" s="140" t="str">
        <f t="shared" si="0"/>
        <v/>
      </c>
      <c r="D10" s="141" t="str">
        <f t="shared" si="1"/>
        <v/>
      </c>
      <c r="E10" s="140" t="str">
        <f t="shared" si="2"/>
        <v/>
      </c>
      <c r="F10" s="141" t="str">
        <f t="shared" si="3"/>
        <v/>
      </c>
      <c r="G10" s="142" t="str">
        <f t="shared" si="4"/>
        <v/>
      </c>
      <c r="H10" s="143" t="str">
        <f t="shared" si="5"/>
        <v/>
      </c>
      <c r="I10" s="144" t="str">
        <f t="shared" si="6"/>
        <v/>
      </c>
      <c r="J10" s="82"/>
      <c r="L10" s="36">
        <v>5</v>
      </c>
      <c r="M10" s="39">
        <f t="shared" si="7"/>
        <v>0</v>
      </c>
      <c r="N10" s="40" t="str">
        <f>PIPE!$B$3</f>
        <v>Pipe</v>
      </c>
      <c r="O10" s="41"/>
      <c r="P10" s="39">
        <f>PIPE!H8</f>
        <v>0</v>
      </c>
      <c r="Q10" s="90">
        <f>PIPE!I8</f>
        <v>197.64</v>
      </c>
      <c r="R10" s="90">
        <f>PIPE!K8</f>
        <v>0</v>
      </c>
      <c r="S10" s="39">
        <f>PIPE!D8</f>
        <v>2811600000</v>
      </c>
      <c r="T10" s="39" t="str">
        <f>PIPE!E8</f>
        <v>63 / 2½"</v>
      </c>
      <c r="U10" s="40" t="str">
        <f>PIPE!F8</f>
        <v>18 ft 8 inch</v>
      </c>
      <c r="V10" s="39">
        <f>PIPE!G8</f>
        <v>1</v>
      </c>
    </row>
    <row r="11" spans="1:22" ht="14.5">
      <c r="A11" s="69"/>
      <c r="B11" s="256" t="str">
        <f>IF(ISERROR(VLOOKUP(L11,$M$6:$V$612,7,0)),"",(VLOOKUP(L11,$M$6:$V617,7,0)))</f>
        <v/>
      </c>
      <c r="C11" s="140" t="str">
        <f t="shared" si="0"/>
        <v/>
      </c>
      <c r="D11" s="141" t="str">
        <f t="shared" si="1"/>
        <v/>
      </c>
      <c r="E11" s="140" t="str">
        <f t="shared" si="2"/>
        <v/>
      </c>
      <c r="F11" s="141" t="str">
        <f t="shared" si="3"/>
        <v/>
      </c>
      <c r="G11" s="142" t="str">
        <f t="shared" si="4"/>
        <v/>
      </c>
      <c r="H11" s="143" t="str">
        <f t="shared" si="5"/>
        <v/>
      </c>
      <c r="I11" s="144" t="str">
        <f t="shared" si="6"/>
        <v/>
      </c>
      <c r="J11" s="82"/>
      <c r="L11" s="36">
        <v>6</v>
      </c>
      <c r="M11" s="39">
        <f t="shared" si="7"/>
        <v>0</v>
      </c>
      <c r="N11" s="40" t="str">
        <f>PIPE!$B$3</f>
        <v>Pipe</v>
      </c>
      <c r="O11" s="41"/>
      <c r="P11" s="39">
        <f>PIPE!H9</f>
        <v>0</v>
      </c>
      <c r="Q11" s="90">
        <f>PIPE!I9</f>
        <v>259.88</v>
      </c>
      <c r="R11" s="90">
        <f>PIPE!K9</f>
        <v>0</v>
      </c>
      <c r="S11" s="39">
        <f>PIPE!D9</f>
        <v>2811700000</v>
      </c>
      <c r="T11" s="39" t="str">
        <f>PIPE!E9</f>
        <v>80 / 3"</v>
      </c>
      <c r="U11" s="40" t="str">
        <f>PIPE!F9</f>
        <v>18 ft 8 inch</v>
      </c>
      <c r="V11" s="39">
        <f>PIPE!G9</f>
        <v>1</v>
      </c>
    </row>
    <row r="12" spans="1:22" ht="14.5">
      <c r="A12" s="69"/>
      <c r="B12" s="256" t="str">
        <f>IF(ISERROR(VLOOKUP(L12,$M$6:$V$612,7,0)),"",(VLOOKUP(L12,$M$6:$V618,7,0)))</f>
        <v/>
      </c>
      <c r="C12" s="140" t="str">
        <f t="shared" si="0"/>
        <v/>
      </c>
      <c r="D12" s="141" t="str">
        <f t="shared" si="1"/>
        <v/>
      </c>
      <c r="E12" s="140" t="str">
        <f t="shared" si="2"/>
        <v/>
      </c>
      <c r="F12" s="141" t="str">
        <f t="shared" si="3"/>
        <v/>
      </c>
      <c r="G12" s="142" t="str">
        <f t="shared" si="4"/>
        <v/>
      </c>
      <c r="H12" s="143" t="str">
        <f t="shared" si="5"/>
        <v/>
      </c>
      <c r="I12" s="144" t="str">
        <f t="shared" si="6"/>
        <v/>
      </c>
      <c r="J12" s="82"/>
      <c r="L12" s="36">
        <v>7</v>
      </c>
      <c r="M12" s="39">
        <f t="shared" si="7"/>
        <v>0</v>
      </c>
      <c r="N12" s="40" t="str">
        <f>PIPE!$B$3</f>
        <v>Pipe</v>
      </c>
      <c r="O12" s="41"/>
      <c r="P12" s="39">
        <f>PIPE!H10</f>
        <v>0</v>
      </c>
      <c r="Q12" s="90">
        <f>PIPE!I10</f>
        <v>327.60000000000002</v>
      </c>
      <c r="R12" s="90">
        <f>PIPE!K10</f>
        <v>0</v>
      </c>
      <c r="S12" s="39">
        <f>PIPE!D10</f>
        <v>2811800000</v>
      </c>
      <c r="T12" s="39" t="str">
        <f>PIPE!E10</f>
        <v>100 / 4"</v>
      </c>
      <c r="U12" s="40" t="str">
        <f>PIPE!F10</f>
        <v>18 ft 8 inch</v>
      </c>
      <c r="V12" s="39">
        <f>PIPE!G10</f>
        <v>1</v>
      </c>
    </row>
    <row r="13" spans="1:22" ht="14.5">
      <c r="A13" s="69"/>
      <c r="B13" s="256" t="str">
        <f>IF(ISERROR(VLOOKUP(L13,$M$6:$V$612,7,0)),"",(VLOOKUP(L13,$M$6:$V619,7,0)))</f>
        <v/>
      </c>
      <c r="C13" s="140" t="str">
        <f t="shared" si="0"/>
        <v/>
      </c>
      <c r="D13" s="141" t="str">
        <f t="shared" si="1"/>
        <v/>
      </c>
      <c r="E13" s="140" t="str">
        <f t="shared" si="2"/>
        <v/>
      </c>
      <c r="F13" s="141" t="str">
        <f t="shared" si="3"/>
        <v/>
      </c>
      <c r="G13" s="142" t="str">
        <f t="shared" si="4"/>
        <v/>
      </c>
      <c r="H13" s="143" t="str">
        <f t="shared" si="5"/>
        <v/>
      </c>
      <c r="I13" s="144" t="str">
        <f t="shared" si="6"/>
        <v/>
      </c>
      <c r="J13" s="82"/>
      <c r="L13" s="36">
        <v>8</v>
      </c>
      <c r="M13" s="39">
        <f t="shared" si="7"/>
        <v>0</v>
      </c>
      <c r="N13" s="40" t="str">
        <f>PIPE!$B$3</f>
        <v>Pipe</v>
      </c>
      <c r="O13" s="41"/>
      <c r="P13" s="39">
        <f>PIPE!H11</f>
        <v>0</v>
      </c>
      <c r="Q13" s="90">
        <f>PIPE!I11</f>
        <v>674.45</v>
      </c>
      <c r="R13" s="90">
        <f>PIPE!K11</f>
        <v>0</v>
      </c>
      <c r="S13" s="39">
        <f>PIPE!D11</f>
        <v>2811900000</v>
      </c>
      <c r="T13" s="39" t="str">
        <f>PIPE!E11</f>
        <v>158 / 6"</v>
      </c>
      <c r="U13" s="40" t="str">
        <f>PIPE!F11</f>
        <v>18 ft 8 inch</v>
      </c>
      <c r="V13" s="39">
        <f>PIPE!G11</f>
        <v>1</v>
      </c>
    </row>
    <row r="14" spans="1:22" ht="14.5">
      <c r="A14" s="69"/>
      <c r="B14" s="256" t="str">
        <f>IF(ISERROR(VLOOKUP(L14,$M$6:$V$612,7,0)),"",(VLOOKUP(L14,$M$6:$V620,7,0)))</f>
        <v/>
      </c>
      <c r="C14" s="140" t="str">
        <f t="shared" si="0"/>
        <v/>
      </c>
      <c r="D14" s="141" t="str">
        <f t="shared" si="1"/>
        <v/>
      </c>
      <c r="E14" s="140" t="str">
        <f t="shared" si="2"/>
        <v/>
      </c>
      <c r="F14" s="141" t="str">
        <f t="shared" si="3"/>
        <v/>
      </c>
      <c r="G14" s="142" t="str">
        <f t="shared" si="4"/>
        <v/>
      </c>
      <c r="H14" s="143" t="str">
        <f t="shared" si="5"/>
        <v/>
      </c>
      <c r="I14" s="144" t="str">
        <f t="shared" si="6"/>
        <v/>
      </c>
      <c r="J14" s="82"/>
      <c r="L14" s="2">
        <v>9</v>
      </c>
      <c r="M14" s="39">
        <f t="shared" si="7"/>
        <v>0</v>
      </c>
      <c r="O14" s="41"/>
      <c r="Q14" s="92"/>
      <c r="R14" s="92"/>
    </row>
    <row r="15" spans="1:22" ht="14.5">
      <c r="A15" s="69"/>
      <c r="B15" s="256" t="str">
        <f>IF(ISERROR(VLOOKUP(L15,$M$6:$V$612,7,0)),"",(VLOOKUP(L15,$M$6:$V621,7,0)))</f>
        <v/>
      </c>
      <c r="C15" s="140" t="str">
        <f t="shared" si="0"/>
        <v/>
      </c>
      <c r="D15" s="141" t="str">
        <f t="shared" si="1"/>
        <v/>
      </c>
      <c r="E15" s="140" t="str">
        <f t="shared" si="2"/>
        <v/>
      </c>
      <c r="F15" s="141" t="str">
        <f t="shared" si="3"/>
        <v/>
      </c>
      <c r="G15" s="142" t="str">
        <f t="shared" si="4"/>
        <v/>
      </c>
      <c r="H15" s="143" t="str">
        <f t="shared" si="5"/>
        <v/>
      </c>
      <c r="I15" s="144" t="str">
        <f t="shared" si="6"/>
        <v/>
      </c>
      <c r="J15" s="82"/>
      <c r="L15" s="36">
        <v>10</v>
      </c>
      <c r="M15" s="39">
        <f t="shared" si="7"/>
        <v>0</v>
      </c>
      <c r="O15" s="41"/>
      <c r="Q15" s="92"/>
      <c r="R15" s="92"/>
    </row>
    <row r="16" spans="1:22" ht="14.5">
      <c r="A16" s="69"/>
      <c r="B16" s="256" t="str">
        <f>IF(ISERROR(VLOOKUP(L16,$M$6:$V$612,7,0)),"",(VLOOKUP(L16,$M$6:$V622,7,0)))</f>
        <v/>
      </c>
      <c r="C16" s="140" t="str">
        <f t="shared" si="0"/>
        <v/>
      </c>
      <c r="D16" s="141" t="str">
        <f t="shared" si="1"/>
        <v/>
      </c>
      <c r="E16" s="140" t="str">
        <f t="shared" si="2"/>
        <v/>
      </c>
      <c r="F16" s="141" t="str">
        <f t="shared" si="3"/>
        <v/>
      </c>
      <c r="G16" s="142" t="str">
        <f t="shared" si="4"/>
        <v/>
      </c>
      <c r="H16" s="143" t="str">
        <f t="shared" si="5"/>
        <v/>
      </c>
      <c r="I16" s="144" t="str">
        <f t="shared" si="6"/>
        <v/>
      </c>
      <c r="J16" s="82"/>
      <c r="L16" s="36">
        <v>11</v>
      </c>
      <c r="M16" s="39">
        <f t="shared" si="7"/>
        <v>0</v>
      </c>
      <c r="N16" s="40" t="str">
        <f>PIPE!$C$13</f>
        <v>Inert Gas (green pipe)</v>
      </c>
      <c r="O16" s="41"/>
      <c r="P16" s="39">
        <f>PIPE!H14</f>
        <v>0</v>
      </c>
      <c r="Q16" s="90">
        <f>PIPE!I14</f>
        <v>47.84</v>
      </c>
      <c r="R16" s="90">
        <f>PIPE!K14</f>
        <v>0</v>
      </c>
      <c r="S16" s="39">
        <f>PIPE!D14</f>
        <v>2811106100</v>
      </c>
      <c r="T16" s="39" t="str">
        <f>PIPE!E14</f>
        <v>20 / ¾"</v>
      </c>
      <c r="U16" s="40" t="str">
        <f>PIPE!F14</f>
        <v>18 ft 8 inch</v>
      </c>
      <c r="V16" s="39">
        <f>PIPE!G14</f>
        <v>1</v>
      </c>
    </row>
    <row r="17" spans="1:22" ht="14.5">
      <c r="A17" s="69"/>
      <c r="B17" s="256" t="str">
        <f>IF(ISERROR(VLOOKUP(L17,$M$6:$V$612,7,0)),"",(VLOOKUP(L17,$M$6:$V623,7,0)))</f>
        <v/>
      </c>
      <c r="C17" s="140" t="str">
        <f t="shared" si="0"/>
        <v/>
      </c>
      <c r="D17" s="141" t="str">
        <f t="shared" si="1"/>
        <v/>
      </c>
      <c r="E17" s="140" t="str">
        <f t="shared" si="2"/>
        <v/>
      </c>
      <c r="F17" s="141" t="str">
        <f t="shared" si="3"/>
        <v/>
      </c>
      <c r="G17" s="142" t="str">
        <f t="shared" si="4"/>
        <v/>
      </c>
      <c r="H17" s="143" t="str">
        <f t="shared" si="5"/>
        <v/>
      </c>
      <c r="I17" s="144" t="str">
        <f t="shared" si="6"/>
        <v/>
      </c>
      <c r="J17" s="82"/>
      <c r="L17" s="36">
        <v>12</v>
      </c>
      <c r="M17" s="39">
        <f t="shared" si="7"/>
        <v>0</v>
      </c>
      <c r="N17" s="40" t="str">
        <f>PIPE!$C$13</f>
        <v>Inert Gas (green pipe)</v>
      </c>
      <c r="O17" s="41"/>
      <c r="P17" s="39">
        <f>PIPE!H15</f>
        <v>0</v>
      </c>
      <c r="Q17" s="90">
        <f>PIPE!I15</f>
        <v>82.43</v>
      </c>
      <c r="R17" s="90">
        <f>PIPE!K15</f>
        <v>0</v>
      </c>
      <c r="S17" s="39">
        <f>PIPE!D15</f>
        <v>2811206100</v>
      </c>
      <c r="T17" s="39" t="str">
        <f>PIPE!E15</f>
        <v>25 / 1"</v>
      </c>
      <c r="U17" s="40" t="str">
        <f>PIPE!F15</f>
        <v>18 ft 8 inch</v>
      </c>
      <c r="V17" s="39">
        <f>PIPE!G15</f>
        <v>1</v>
      </c>
    </row>
    <row r="18" spans="1:22" ht="14.5">
      <c r="A18" s="69"/>
      <c r="B18" s="256" t="str">
        <f>IF(ISERROR(VLOOKUP(L18,$M$6:$V$612,7,0)),"",(VLOOKUP(L18,$M$6:$V624,7,0)))</f>
        <v/>
      </c>
      <c r="C18" s="140" t="str">
        <f t="shared" si="0"/>
        <v/>
      </c>
      <c r="D18" s="141" t="str">
        <f t="shared" si="1"/>
        <v/>
      </c>
      <c r="E18" s="140" t="str">
        <f t="shared" si="2"/>
        <v/>
      </c>
      <c r="F18" s="141" t="str">
        <f t="shared" si="3"/>
        <v/>
      </c>
      <c r="G18" s="142" t="str">
        <f t="shared" si="4"/>
        <v/>
      </c>
      <c r="H18" s="143" t="str">
        <f t="shared" si="5"/>
        <v/>
      </c>
      <c r="I18" s="144" t="str">
        <f t="shared" si="6"/>
        <v/>
      </c>
      <c r="J18" s="82"/>
      <c r="L18" s="36">
        <v>13</v>
      </c>
      <c r="M18" s="39">
        <f t="shared" si="7"/>
        <v>0</v>
      </c>
      <c r="O18" s="41"/>
      <c r="P18" s="2">
        <f>PIPE!H16</f>
        <v>0</v>
      </c>
      <c r="Q18" s="92"/>
      <c r="R18" s="92"/>
      <c r="V18" s="2">
        <f>PIPE!G16</f>
        <v>0</v>
      </c>
    </row>
    <row r="19" spans="1:22" ht="14.5">
      <c r="A19" s="69"/>
      <c r="B19" s="256" t="str">
        <f>IF(ISERROR(VLOOKUP(L19,$M$6:$V$612,7,0)),"",(VLOOKUP(L19,$M$6:$V625,7,0)))</f>
        <v/>
      </c>
      <c r="C19" s="140" t="str">
        <f t="shared" si="0"/>
        <v/>
      </c>
      <c r="D19" s="141" t="str">
        <f t="shared" si="1"/>
        <v/>
      </c>
      <c r="E19" s="140" t="str">
        <f t="shared" si="2"/>
        <v/>
      </c>
      <c r="F19" s="141" t="str">
        <f t="shared" si="3"/>
        <v/>
      </c>
      <c r="G19" s="142" t="str">
        <f t="shared" si="4"/>
        <v/>
      </c>
      <c r="H19" s="143" t="str">
        <f t="shared" si="5"/>
        <v/>
      </c>
      <c r="I19" s="144" t="str">
        <f t="shared" si="6"/>
        <v/>
      </c>
      <c r="J19" s="82"/>
      <c r="L19" s="36">
        <v>14</v>
      </c>
      <c r="M19" s="39">
        <f t="shared" si="7"/>
        <v>0</v>
      </c>
      <c r="O19" s="41"/>
      <c r="P19" s="2">
        <f>PIPE!H17</f>
        <v>0</v>
      </c>
      <c r="Q19" s="92"/>
      <c r="R19" s="92"/>
      <c r="V19" s="2">
        <f>PIPE!G17</f>
        <v>0</v>
      </c>
    </row>
    <row r="20" spans="1:22" ht="14.5">
      <c r="A20" s="69"/>
      <c r="B20" s="256" t="str">
        <f>IF(ISERROR(VLOOKUP(L20,$M$6:$V$612,7,0)),"",(VLOOKUP(L20,$M$6:$V626,7,0)))</f>
        <v/>
      </c>
      <c r="C20" s="140" t="str">
        <f t="shared" si="0"/>
        <v/>
      </c>
      <c r="D20" s="141" t="str">
        <f t="shared" si="1"/>
        <v/>
      </c>
      <c r="E20" s="140" t="str">
        <f t="shared" si="2"/>
        <v/>
      </c>
      <c r="F20" s="141" t="str">
        <f t="shared" si="3"/>
        <v/>
      </c>
      <c r="G20" s="142" t="str">
        <f t="shared" si="4"/>
        <v/>
      </c>
      <c r="H20" s="143" t="str">
        <f t="shared" si="5"/>
        <v/>
      </c>
      <c r="I20" s="144" t="str">
        <f t="shared" si="6"/>
        <v/>
      </c>
      <c r="J20" s="82"/>
      <c r="L20" s="36">
        <v>15</v>
      </c>
      <c r="M20" s="39">
        <f t="shared" si="7"/>
        <v>0</v>
      </c>
      <c r="O20" s="41"/>
      <c r="P20" s="2">
        <f>PIPE!H18</f>
        <v>0</v>
      </c>
      <c r="Q20" s="92"/>
      <c r="R20" s="92"/>
      <c r="V20" s="2">
        <f>PIPE!G18</f>
        <v>0</v>
      </c>
    </row>
    <row r="21" spans="1:22" ht="14.5">
      <c r="A21" s="69"/>
      <c r="B21" s="256" t="str">
        <f>IF(ISERROR(VLOOKUP(L21,$M$6:$V$612,7,0)),"",(VLOOKUP(L21,$M$6:$V627,7,0)))</f>
        <v/>
      </c>
      <c r="C21" s="140" t="str">
        <f t="shared" si="0"/>
        <v/>
      </c>
      <c r="D21" s="141" t="str">
        <f t="shared" si="1"/>
        <v/>
      </c>
      <c r="E21" s="140" t="str">
        <f t="shared" si="2"/>
        <v/>
      </c>
      <c r="F21" s="141" t="str">
        <f t="shared" si="3"/>
        <v/>
      </c>
      <c r="G21" s="142" t="str">
        <f t="shared" si="4"/>
        <v/>
      </c>
      <c r="H21" s="143" t="str">
        <f t="shared" si="5"/>
        <v/>
      </c>
      <c r="I21" s="144" t="str">
        <f t="shared" si="6"/>
        <v/>
      </c>
      <c r="J21" s="82"/>
      <c r="L21" s="36">
        <v>16</v>
      </c>
      <c r="M21" s="39">
        <f t="shared" si="7"/>
        <v>0</v>
      </c>
      <c r="O21" s="41"/>
      <c r="P21" s="2">
        <f>PIPE!H19</f>
        <v>0</v>
      </c>
      <c r="Q21" s="92"/>
      <c r="R21" s="92"/>
      <c r="V21" s="2">
        <f>PIPE!G19</f>
        <v>0</v>
      </c>
    </row>
    <row r="22" spans="1:22" ht="14.5">
      <c r="A22" s="69"/>
      <c r="B22" s="256" t="str">
        <f>IF(ISERROR(VLOOKUP(L22,$M$6:$V$612,7,0)),"",(VLOOKUP(L22,$M$6:$V628,7,0)))</f>
        <v/>
      </c>
      <c r="C22" s="140" t="str">
        <f t="shared" si="0"/>
        <v/>
      </c>
      <c r="D22" s="141" t="str">
        <f t="shared" si="1"/>
        <v/>
      </c>
      <c r="E22" s="140" t="str">
        <f t="shared" si="2"/>
        <v/>
      </c>
      <c r="F22" s="141" t="str">
        <f t="shared" si="3"/>
        <v/>
      </c>
      <c r="G22" s="142" t="str">
        <f t="shared" si="4"/>
        <v/>
      </c>
      <c r="H22" s="143" t="str">
        <f t="shared" si="5"/>
        <v/>
      </c>
      <c r="I22" s="144" t="str">
        <f t="shared" si="6"/>
        <v/>
      </c>
      <c r="J22" s="82"/>
      <c r="L22" s="2">
        <v>17</v>
      </c>
      <c r="M22" s="39">
        <f t="shared" si="7"/>
        <v>0</v>
      </c>
      <c r="O22" s="41"/>
      <c r="P22" s="84">
        <f>PIPE!H21</f>
        <v>0</v>
      </c>
      <c r="Q22" s="91"/>
      <c r="R22" s="91"/>
      <c r="S22" s="84"/>
      <c r="T22" s="84"/>
      <c r="U22" s="85"/>
      <c r="V22" s="84">
        <f>PIPE!G21</f>
        <v>0</v>
      </c>
    </row>
    <row r="23" spans="1:22" ht="14.5">
      <c r="A23" s="69"/>
      <c r="B23" s="256" t="str">
        <f>IF(ISERROR(VLOOKUP(L23,$M$6:$V$612,7,0)),"",(VLOOKUP(L23,$M$6:$V629,7,0)))</f>
        <v/>
      </c>
      <c r="C23" s="140" t="str">
        <f t="shared" si="0"/>
        <v/>
      </c>
      <c r="D23" s="141" t="str">
        <f t="shared" si="1"/>
        <v/>
      </c>
      <c r="E23" s="140" t="str">
        <f t="shared" si="2"/>
        <v/>
      </c>
      <c r="F23" s="141" t="str">
        <f t="shared" si="3"/>
        <v/>
      </c>
      <c r="G23" s="142" t="str">
        <f t="shared" si="4"/>
        <v/>
      </c>
      <c r="H23" s="143" t="str">
        <f t="shared" si="5"/>
        <v/>
      </c>
      <c r="I23" s="144" t="str">
        <f t="shared" si="6"/>
        <v/>
      </c>
      <c r="J23" s="82"/>
      <c r="L23" s="36">
        <v>18</v>
      </c>
      <c r="M23" s="39">
        <f t="shared" si="7"/>
        <v>0</v>
      </c>
      <c r="N23" s="40" t="str">
        <f>PIPE!$C$21</f>
        <v>S Bend</v>
      </c>
      <c r="O23" s="41"/>
      <c r="P23" s="39">
        <f>PIPE!H22</f>
        <v>0</v>
      </c>
      <c r="Q23" s="90">
        <f>PIPE!I22</f>
        <v>26.95</v>
      </c>
      <c r="R23" s="90">
        <f>PIPE!K22</f>
        <v>0</v>
      </c>
      <c r="S23" s="39">
        <f>PIPE!D22</f>
        <v>2811106705</v>
      </c>
      <c r="T23" s="39" t="str">
        <f>PIPE!E22</f>
        <v>20 / ¾"</v>
      </c>
      <c r="U23" s="40" t="str">
        <f>PIPE!F22</f>
        <v>Use with Quick Drops to rotate pipe against wall (~6.5" offset)</v>
      </c>
      <c r="V23" s="39">
        <f>PIPE!G22</f>
        <v>5</v>
      </c>
    </row>
    <row r="24" spans="1:22" ht="14.5">
      <c r="A24" s="69"/>
      <c r="B24" s="256" t="str">
        <f>IF(ISERROR(VLOOKUP(L24,$M$6:$V$612,7,0)),"",(VLOOKUP(L24,$M$6:$V630,7,0)))</f>
        <v/>
      </c>
      <c r="C24" s="140" t="str">
        <f t="shared" si="0"/>
        <v/>
      </c>
      <c r="D24" s="141" t="str">
        <f t="shared" si="1"/>
        <v/>
      </c>
      <c r="E24" s="140" t="str">
        <f t="shared" si="2"/>
        <v/>
      </c>
      <c r="F24" s="141" t="str">
        <f t="shared" si="3"/>
        <v/>
      </c>
      <c r="G24" s="142" t="str">
        <f t="shared" si="4"/>
        <v/>
      </c>
      <c r="H24" s="143" t="str">
        <f t="shared" si="5"/>
        <v/>
      </c>
      <c r="I24" s="144" t="str">
        <f t="shared" si="6"/>
        <v/>
      </c>
      <c r="J24" s="82"/>
      <c r="L24" s="36">
        <v>19</v>
      </c>
      <c r="M24" s="39">
        <f t="shared" si="7"/>
        <v>0</v>
      </c>
      <c r="N24" s="40" t="str">
        <f>PIPE!$C$21</f>
        <v>S Bend</v>
      </c>
      <c r="O24" s="41"/>
      <c r="P24" s="39">
        <f>PIPE!H23</f>
        <v>0</v>
      </c>
      <c r="Q24" s="90">
        <f>PIPE!I23</f>
        <v>78.41</v>
      </c>
      <c r="R24" s="90">
        <f>PIPE!K23</f>
        <v>0</v>
      </c>
      <c r="S24" s="39">
        <f>PIPE!D23</f>
        <v>2811206705</v>
      </c>
      <c r="T24" s="39" t="str">
        <f>PIPE!E23</f>
        <v>25 / 1"</v>
      </c>
      <c r="U24" s="40" t="str">
        <f>PIPE!F23</f>
        <v>Use with Quick Drops to rotate pipe against wall (~6.5" offset)</v>
      </c>
      <c r="V24" s="39">
        <f>PIPE!G23</f>
        <v>5</v>
      </c>
    </row>
    <row r="25" spans="1:22" ht="14.5">
      <c r="A25" s="69"/>
      <c r="B25" s="256" t="str">
        <f>IF(ISERROR(VLOOKUP(L25,$M$6:$V$612,7,0)),"",(VLOOKUP(L25,$M$6:$V631,7,0)))</f>
        <v/>
      </c>
      <c r="C25" s="140" t="str">
        <f t="shared" si="0"/>
        <v/>
      </c>
      <c r="D25" s="141" t="str">
        <f t="shared" si="1"/>
        <v/>
      </c>
      <c r="E25" s="140" t="str">
        <f t="shared" si="2"/>
        <v/>
      </c>
      <c r="F25" s="141" t="str">
        <f t="shared" si="3"/>
        <v/>
      </c>
      <c r="G25" s="142" t="str">
        <f t="shared" si="4"/>
        <v/>
      </c>
      <c r="H25" s="143" t="str">
        <f t="shared" si="5"/>
        <v/>
      </c>
      <c r="I25" s="144" t="str">
        <f t="shared" si="6"/>
        <v/>
      </c>
      <c r="J25" s="82"/>
      <c r="L25" s="36">
        <v>20</v>
      </c>
      <c r="M25" s="39">
        <f t="shared" si="7"/>
        <v>0</v>
      </c>
      <c r="N25" s="38"/>
      <c r="O25" s="41"/>
      <c r="P25" s="86"/>
      <c r="Q25" s="93"/>
      <c r="R25" s="93"/>
      <c r="S25" s="86"/>
      <c r="T25" s="86"/>
      <c r="U25" s="41"/>
      <c r="V25" s="86"/>
    </row>
    <row r="26" spans="1:22" ht="14.5">
      <c r="A26" s="69"/>
      <c r="B26" s="256" t="str">
        <f>IF(ISERROR(VLOOKUP(L26,$M$6:$V$612,7,0)),"",(VLOOKUP(L26,$M$6:$V632,7,0)))</f>
        <v/>
      </c>
      <c r="C26" s="140" t="str">
        <f t="shared" si="0"/>
        <v/>
      </c>
      <c r="D26" s="141" t="str">
        <f t="shared" si="1"/>
        <v/>
      </c>
      <c r="E26" s="140" t="str">
        <f t="shared" si="2"/>
        <v/>
      </c>
      <c r="F26" s="141" t="str">
        <f t="shared" si="3"/>
        <v/>
      </c>
      <c r="G26" s="142" t="str">
        <f t="shared" si="4"/>
        <v/>
      </c>
      <c r="H26" s="143" t="str">
        <f t="shared" si="5"/>
        <v/>
      </c>
      <c r="I26" s="144" t="str">
        <f t="shared" si="6"/>
        <v/>
      </c>
      <c r="J26" s="82"/>
      <c r="L26" s="36">
        <v>21</v>
      </c>
      <c r="M26" s="39">
        <f t="shared" si="7"/>
        <v>0</v>
      </c>
      <c r="N26" s="40" t="str">
        <f>'Straight Connection'!$C$3</f>
        <v>Equal Union - PF Series</v>
      </c>
      <c r="O26" s="41"/>
      <c r="P26" s="39">
        <f>'Straight Connection'!H4</f>
        <v>0</v>
      </c>
      <c r="Q26" s="90">
        <f>'Straight Connection'!I4</f>
        <v>17.829999999999998</v>
      </c>
      <c r="R26" s="90">
        <f>'Straight Connection'!K4</f>
        <v>0</v>
      </c>
      <c r="S26" s="39">
        <f>'Straight Connection'!D4</f>
        <v>2811100280</v>
      </c>
      <c r="T26" s="39" t="str">
        <f>'Straight Connection'!E4</f>
        <v>20 / ¾"</v>
      </c>
      <c r="U26" s="40" t="str">
        <f>'Straight Connection'!F4</f>
        <v>Pipe to Pipe connector</v>
      </c>
      <c r="V26" s="39">
        <f>'Straight Connection'!G4</f>
        <v>1</v>
      </c>
    </row>
    <row r="27" spans="1:22" ht="14.5">
      <c r="A27" s="69"/>
      <c r="B27" s="256" t="str">
        <f>IF(ISERROR(VLOOKUP(L27,$M$6:$V$612,7,0)),"",(VLOOKUP(L27,$M$6:$V633,7,0)))</f>
        <v/>
      </c>
      <c r="C27" s="140" t="str">
        <f t="shared" si="0"/>
        <v/>
      </c>
      <c r="D27" s="141" t="str">
        <f t="shared" si="1"/>
        <v/>
      </c>
      <c r="E27" s="140" t="str">
        <f t="shared" si="2"/>
        <v/>
      </c>
      <c r="F27" s="141" t="str">
        <f t="shared" si="3"/>
        <v/>
      </c>
      <c r="G27" s="142" t="str">
        <f t="shared" si="4"/>
        <v/>
      </c>
      <c r="H27" s="143" t="str">
        <f t="shared" si="5"/>
        <v/>
      </c>
      <c r="I27" s="144" t="str">
        <f t="shared" si="6"/>
        <v/>
      </c>
      <c r="J27" s="82"/>
      <c r="L27" s="36">
        <v>22</v>
      </c>
      <c r="M27" s="39">
        <f t="shared" si="7"/>
        <v>0</v>
      </c>
      <c r="N27" s="40" t="str">
        <f>'Straight Connection'!$C$3</f>
        <v>Equal Union - PF Series</v>
      </c>
      <c r="O27" s="41"/>
      <c r="P27" s="39">
        <f>'Straight Connection'!H5</f>
        <v>0</v>
      </c>
      <c r="Q27" s="90">
        <f>'Straight Connection'!I5</f>
        <v>23.6</v>
      </c>
      <c r="R27" s="90">
        <f>'Straight Connection'!K5</f>
        <v>0</v>
      </c>
      <c r="S27" s="39">
        <f>'Straight Connection'!D5</f>
        <v>2811200280</v>
      </c>
      <c r="T27" s="39" t="str">
        <f>'Straight Connection'!E5</f>
        <v>25 / 1"</v>
      </c>
      <c r="U27" s="40" t="str">
        <f>'Straight Connection'!F5</f>
        <v>Pipe to Pipe connector</v>
      </c>
      <c r="V27" s="39">
        <f>'Straight Connection'!G5</f>
        <v>1</v>
      </c>
    </row>
    <row r="28" spans="1:22" ht="14.5">
      <c r="A28" s="69"/>
      <c r="B28" s="256" t="str">
        <f>IF(ISERROR(VLOOKUP(L28,$M$6:$V$612,7,0)),"",(VLOOKUP(L28,$M$6:$V634,7,0)))</f>
        <v/>
      </c>
      <c r="C28" s="140" t="str">
        <f t="shared" si="0"/>
        <v/>
      </c>
      <c r="D28" s="141" t="str">
        <f t="shared" si="1"/>
        <v/>
      </c>
      <c r="E28" s="140" t="str">
        <f t="shared" si="2"/>
        <v/>
      </c>
      <c r="F28" s="141" t="str">
        <f t="shared" si="3"/>
        <v/>
      </c>
      <c r="G28" s="142" t="str">
        <f t="shared" si="4"/>
        <v/>
      </c>
      <c r="H28" s="143" t="str">
        <f t="shared" si="5"/>
        <v/>
      </c>
      <c r="I28" s="144" t="str">
        <f t="shared" si="6"/>
        <v/>
      </c>
      <c r="J28" s="82"/>
      <c r="L28" s="36">
        <v>23</v>
      </c>
      <c r="M28" s="39">
        <f t="shared" si="7"/>
        <v>0</v>
      </c>
      <c r="N28" s="40" t="str">
        <f>'Straight Connection'!$C$3</f>
        <v>Equal Union - PF Series</v>
      </c>
      <c r="O28" s="41"/>
      <c r="P28" s="39">
        <f>'Straight Connection'!H6</f>
        <v>0</v>
      </c>
      <c r="Q28" s="90">
        <f>'Straight Connection'!I6</f>
        <v>43.61</v>
      </c>
      <c r="R28" s="90">
        <f>'Straight Connection'!K6</f>
        <v>0</v>
      </c>
      <c r="S28" s="39">
        <f>'Straight Connection'!D6</f>
        <v>2811400280</v>
      </c>
      <c r="T28" s="39" t="str">
        <f>'Straight Connection'!E6</f>
        <v>40 / 1½"</v>
      </c>
      <c r="U28" s="40" t="str">
        <f>'Straight Connection'!F6</f>
        <v>Pipe to Pipe connector</v>
      </c>
      <c r="V28" s="39">
        <f>'Straight Connection'!G6</f>
        <v>1</v>
      </c>
    </row>
    <row r="29" spans="1:22" ht="14.5">
      <c r="A29" s="69"/>
      <c r="B29" s="256" t="str">
        <f>IF(ISERROR(VLOOKUP(L29,$M$6:$V$612,7,0)),"",(VLOOKUP(L29,$M$6:$V635,7,0)))</f>
        <v/>
      </c>
      <c r="C29" s="140" t="str">
        <f t="shared" si="0"/>
        <v/>
      </c>
      <c r="D29" s="141" t="str">
        <f t="shared" si="1"/>
        <v/>
      </c>
      <c r="E29" s="140" t="str">
        <f t="shared" si="2"/>
        <v/>
      </c>
      <c r="F29" s="141" t="str">
        <f t="shared" si="3"/>
        <v/>
      </c>
      <c r="G29" s="142" t="str">
        <f t="shared" si="4"/>
        <v/>
      </c>
      <c r="H29" s="143" t="str">
        <f t="shared" si="5"/>
        <v/>
      </c>
      <c r="I29" s="144" t="str">
        <f t="shared" si="6"/>
        <v/>
      </c>
      <c r="J29" s="82"/>
      <c r="L29" s="36">
        <v>24</v>
      </c>
      <c r="M29" s="39">
        <f t="shared" si="7"/>
        <v>0</v>
      </c>
      <c r="N29" s="40" t="str">
        <f>'Straight Connection'!$C$3</f>
        <v>Equal Union - PF Series</v>
      </c>
      <c r="O29" s="41"/>
      <c r="P29" s="39">
        <f>'Straight Connection'!H7</f>
        <v>0</v>
      </c>
      <c r="Q29" s="90">
        <f>'Straight Connection'!I7</f>
        <v>55.25</v>
      </c>
      <c r="R29" s="90">
        <f>'Straight Connection'!K7</f>
        <v>0</v>
      </c>
      <c r="S29" s="39">
        <f>'Straight Connection'!D7</f>
        <v>2811500280</v>
      </c>
      <c r="T29" s="39" t="str">
        <f>'Straight Connection'!E7</f>
        <v>50 / 2"</v>
      </c>
      <c r="U29" s="40" t="str">
        <f>'Straight Connection'!F7</f>
        <v>Pipe to Pipe connector</v>
      </c>
      <c r="V29" s="39">
        <f>'Straight Connection'!G7</f>
        <v>1</v>
      </c>
    </row>
    <row r="30" spans="1:22" ht="14.5">
      <c r="A30" s="69"/>
      <c r="B30" s="256" t="str">
        <f>IF(ISERROR(VLOOKUP(L30,$M$6:$V$612,7,0)),"",(VLOOKUP(L30,$M$6:$V636,7,0)))</f>
        <v/>
      </c>
      <c r="C30" s="140" t="str">
        <f t="shared" si="0"/>
        <v/>
      </c>
      <c r="D30" s="141" t="str">
        <f t="shared" si="1"/>
        <v/>
      </c>
      <c r="E30" s="140" t="str">
        <f t="shared" si="2"/>
        <v/>
      </c>
      <c r="F30" s="141" t="str">
        <f t="shared" si="3"/>
        <v/>
      </c>
      <c r="G30" s="142" t="str">
        <f t="shared" si="4"/>
        <v/>
      </c>
      <c r="H30" s="143" t="str">
        <f t="shared" si="5"/>
        <v/>
      </c>
      <c r="I30" s="144" t="str">
        <f t="shared" si="6"/>
        <v/>
      </c>
      <c r="J30" s="82"/>
      <c r="L30" s="2">
        <v>25</v>
      </c>
      <c r="M30" s="39">
        <f t="shared" si="7"/>
        <v>0</v>
      </c>
      <c r="O30" s="41"/>
      <c r="P30" s="2">
        <f>'Straight Connection'!H8</f>
        <v>0</v>
      </c>
      <c r="Q30" s="92"/>
      <c r="R30" s="92"/>
      <c r="S30" s="2">
        <f>'Straight Connection'!D8</f>
        <v>0</v>
      </c>
      <c r="T30" s="2">
        <f>'Straight Connection'!E8</f>
        <v>0</v>
      </c>
      <c r="U30">
        <f>'Straight Connection'!F8</f>
        <v>0</v>
      </c>
      <c r="V30" s="2">
        <f>'Straight Connection'!G8</f>
        <v>0</v>
      </c>
    </row>
    <row r="31" spans="1:22" ht="14.5">
      <c r="A31" s="69"/>
      <c r="B31" s="256" t="str">
        <f>IF(ISERROR(VLOOKUP(L31,$M$6:$V$612,7,0)),"",(VLOOKUP(L31,$M$6:$V637,7,0)))</f>
        <v/>
      </c>
      <c r="C31" s="140" t="str">
        <f t="shared" si="0"/>
        <v/>
      </c>
      <c r="D31" s="141" t="str">
        <f t="shared" si="1"/>
        <v/>
      </c>
      <c r="E31" s="140" t="str">
        <f t="shared" si="2"/>
        <v/>
      </c>
      <c r="F31" s="141" t="str">
        <f t="shared" si="3"/>
        <v/>
      </c>
      <c r="G31" s="142" t="str">
        <f t="shared" si="4"/>
        <v/>
      </c>
      <c r="H31" s="143" t="str">
        <f t="shared" si="5"/>
        <v/>
      </c>
      <c r="I31" s="144" t="str">
        <f t="shared" si="6"/>
        <v/>
      </c>
      <c r="J31" s="82"/>
      <c r="L31" s="36">
        <v>26</v>
      </c>
      <c r="M31" s="39">
        <f t="shared" si="7"/>
        <v>0</v>
      </c>
      <c r="O31" s="41"/>
      <c r="P31" s="2">
        <f>'Straight Connection'!H9</f>
        <v>0</v>
      </c>
      <c r="Q31" s="92"/>
      <c r="R31" s="92"/>
      <c r="S31" s="2">
        <f>'Straight Connection'!D9</f>
        <v>0</v>
      </c>
      <c r="T31" s="2">
        <f>'Straight Connection'!E9</f>
        <v>0</v>
      </c>
      <c r="U31">
        <f>'Straight Connection'!F9</f>
        <v>0</v>
      </c>
      <c r="V31" s="2">
        <f>'Straight Connection'!G9</f>
        <v>0</v>
      </c>
    </row>
    <row r="32" spans="1:22" ht="14.5">
      <c r="A32" s="69"/>
      <c r="B32" s="256" t="str">
        <f>IF(ISERROR(VLOOKUP(L32,$M$6:$V$612,7,0)),"",(VLOOKUP(L32,$M$6:$V638,7,0)))</f>
        <v/>
      </c>
      <c r="C32" s="140" t="str">
        <f t="shared" si="0"/>
        <v/>
      </c>
      <c r="D32" s="141" t="str">
        <f t="shared" si="1"/>
        <v/>
      </c>
      <c r="E32" s="140" t="str">
        <f t="shared" si="2"/>
        <v/>
      </c>
      <c r="F32" s="141" t="str">
        <f t="shared" si="3"/>
        <v/>
      </c>
      <c r="G32" s="142" t="str">
        <f t="shared" si="4"/>
        <v/>
      </c>
      <c r="H32" s="143" t="str">
        <f t="shared" si="5"/>
        <v/>
      </c>
      <c r="I32" s="144" t="str">
        <f t="shared" si="6"/>
        <v/>
      </c>
      <c r="J32" s="82"/>
      <c r="L32" s="36">
        <v>27</v>
      </c>
      <c r="M32" s="39">
        <f t="shared" si="7"/>
        <v>0</v>
      </c>
      <c r="N32" s="40" t="str">
        <f>'Straight Connection'!$C$3</f>
        <v>Equal Union - PF Series</v>
      </c>
      <c r="O32" s="41"/>
      <c r="P32" s="39">
        <f>'Straight Connection'!H10</f>
        <v>0</v>
      </c>
      <c r="Q32" s="90">
        <f>'Straight Connection'!I10</f>
        <v>66.8</v>
      </c>
      <c r="R32" s="90">
        <f>'Straight Connection'!K10</f>
        <v>0</v>
      </c>
      <c r="S32" s="39">
        <f>'Straight Connection'!D10</f>
        <v>2811600290</v>
      </c>
      <c r="T32" s="39" t="str">
        <f>'Straight Connection'!E10</f>
        <v>63 / 2½"</v>
      </c>
      <c r="U32" s="40" t="str">
        <f>'Straight Connection'!F10</f>
        <v>Pipe to Pipe connector</v>
      </c>
      <c r="V32" s="39">
        <f>'Straight Connection'!G10</f>
        <v>1</v>
      </c>
    </row>
    <row r="33" spans="1:22" ht="14.5">
      <c r="A33" s="69"/>
      <c r="B33" s="256" t="str">
        <f>IF(ISERROR(VLOOKUP(L33,$M$6:$V$612,7,0)),"",(VLOOKUP(L33,$M$6:$V639,7,0)))</f>
        <v/>
      </c>
      <c r="C33" s="140" t="str">
        <f t="shared" si="0"/>
        <v/>
      </c>
      <c r="D33" s="141" t="str">
        <f t="shared" si="1"/>
        <v/>
      </c>
      <c r="E33" s="140" t="str">
        <f t="shared" si="2"/>
        <v/>
      </c>
      <c r="F33" s="141" t="str">
        <f t="shared" si="3"/>
        <v/>
      </c>
      <c r="G33" s="142" t="str">
        <f t="shared" si="4"/>
        <v/>
      </c>
      <c r="H33" s="143" t="str">
        <f t="shared" si="5"/>
        <v/>
      </c>
      <c r="I33" s="144" t="str">
        <f t="shared" si="6"/>
        <v/>
      </c>
      <c r="J33" s="82"/>
      <c r="L33" s="36">
        <v>28</v>
      </c>
      <c r="M33" s="39">
        <f t="shared" si="7"/>
        <v>0</v>
      </c>
      <c r="N33" s="40" t="str">
        <f>'Straight Connection'!$C$3</f>
        <v>Equal Union - PF Series</v>
      </c>
      <c r="O33" s="41"/>
      <c r="P33" s="39">
        <f>'Straight Connection'!H11</f>
        <v>0</v>
      </c>
      <c r="Q33" s="90">
        <f>'Straight Connection'!I11</f>
        <v>88.48</v>
      </c>
      <c r="R33" s="90">
        <f>'Straight Connection'!K11</f>
        <v>0</v>
      </c>
      <c r="S33" s="39">
        <f>'Straight Connection'!D11</f>
        <v>2811700290</v>
      </c>
      <c r="T33" s="39" t="str">
        <f>'Straight Connection'!E11</f>
        <v>80 / 3"</v>
      </c>
      <c r="U33" s="40" t="str">
        <f>'Straight Connection'!F11</f>
        <v>Pipe to Pipe connector</v>
      </c>
      <c r="V33" s="39">
        <f>'Straight Connection'!G11</f>
        <v>1</v>
      </c>
    </row>
    <row r="34" spans="1:22" ht="14.4" customHeight="1">
      <c r="A34" s="69"/>
      <c r="B34" s="256" t="str">
        <f>IF(ISERROR(VLOOKUP(L34,$M$6:$V$612,7,0)),"",(VLOOKUP(L34,$M$6:$V640,7,0)))</f>
        <v/>
      </c>
      <c r="C34" s="140" t="str">
        <f t="shared" si="0"/>
        <v/>
      </c>
      <c r="D34" s="141" t="str">
        <f t="shared" si="1"/>
        <v/>
      </c>
      <c r="E34" s="140" t="str">
        <f t="shared" si="2"/>
        <v/>
      </c>
      <c r="F34" s="141" t="str">
        <f t="shared" si="3"/>
        <v/>
      </c>
      <c r="G34" s="142" t="str">
        <f t="shared" si="4"/>
        <v/>
      </c>
      <c r="H34" s="143" t="str">
        <f t="shared" si="5"/>
        <v/>
      </c>
      <c r="I34" s="144" t="str">
        <f t="shared" si="6"/>
        <v/>
      </c>
      <c r="J34" s="82"/>
      <c r="L34" s="36">
        <v>29</v>
      </c>
      <c r="M34" s="39">
        <f t="shared" si="7"/>
        <v>0</v>
      </c>
      <c r="N34" s="40" t="str">
        <f>'Straight Connection'!$C$3</f>
        <v>Equal Union - PF Series</v>
      </c>
      <c r="O34" s="41"/>
      <c r="P34" s="39">
        <f>'Straight Connection'!H12</f>
        <v>0</v>
      </c>
      <c r="Q34" s="90">
        <f>'Straight Connection'!I12</f>
        <v>107.72</v>
      </c>
      <c r="R34" s="90">
        <f>'Straight Connection'!K12</f>
        <v>0</v>
      </c>
      <c r="S34" s="39">
        <f>'Straight Connection'!D12</f>
        <v>2810880200</v>
      </c>
      <c r="T34" s="39" t="str">
        <f>'Straight Connection'!E12</f>
        <v>100 / 4"</v>
      </c>
      <c r="U34" s="40" t="str">
        <f>'Straight Connection'!F12</f>
        <v>Pipe to Pipe or Pipe to Fitting</v>
      </c>
      <c r="V34" s="39">
        <f>'Straight Connection'!G12</f>
        <v>1</v>
      </c>
    </row>
    <row r="35" spans="1:22" ht="14.4" customHeight="1">
      <c r="A35" s="69"/>
      <c r="B35" s="256" t="str">
        <f>IF(ISERROR(VLOOKUP(L35,$M$6:$V$612,7,0)),"",(VLOOKUP(L35,$M$6:$V641,7,0)))</f>
        <v/>
      </c>
      <c r="C35" s="140" t="str">
        <f t="shared" si="0"/>
        <v/>
      </c>
      <c r="D35" s="141" t="str">
        <f t="shared" si="1"/>
        <v/>
      </c>
      <c r="E35" s="140" t="str">
        <f t="shared" si="2"/>
        <v/>
      </c>
      <c r="F35" s="141" t="str">
        <f t="shared" si="3"/>
        <v/>
      </c>
      <c r="G35" s="142" t="str">
        <f t="shared" si="4"/>
        <v/>
      </c>
      <c r="H35" s="143" t="str">
        <f t="shared" si="5"/>
        <v/>
      </c>
      <c r="I35" s="144" t="str">
        <f t="shared" si="6"/>
        <v/>
      </c>
      <c r="J35" s="82"/>
      <c r="L35" s="36">
        <v>30</v>
      </c>
      <c r="M35" s="39">
        <f t="shared" si="7"/>
        <v>0</v>
      </c>
      <c r="N35" s="40" t="str">
        <f>'Straight Connection'!$C$3</f>
        <v>Equal Union - PF Series</v>
      </c>
      <c r="O35" s="41"/>
      <c r="P35" s="39">
        <f>'Straight Connection'!H13</f>
        <v>0</v>
      </c>
      <c r="Q35" s="90">
        <f>'Straight Connection'!I13</f>
        <v>114.06</v>
      </c>
      <c r="R35" s="90">
        <f>'Straight Connection'!K13</f>
        <v>0</v>
      </c>
      <c r="S35" s="39">
        <f>'Straight Connection'!D13</f>
        <v>2810900200</v>
      </c>
      <c r="T35" s="39" t="str">
        <f>'Straight Connection'!E13</f>
        <v>158 / 6"</v>
      </c>
      <c r="U35" s="40" t="str">
        <f>'Straight Connection'!F13</f>
        <v>Pipe to Pipe or Pipe to Fitting</v>
      </c>
      <c r="V35" s="39">
        <f>'Straight Connection'!G13</f>
        <v>1</v>
      </c>
    </row>
    <row r="36" spans="1:22" ht="14.5">
      <c r="A36" s="69"/>
      <c r="B36" s="256" t="str">
        <f>IF(ISERROR(VLOOKUP(L36,$M$6:$V$612,7,0)),"",(VLOOKUP(L36,$M$6:$V642,7,0)))</f>
        <v/>
      </c>
      <c r="C36" s="140" t="str">
        <f t="shared" si="0"/>
        <v/>
      </c>
      <c r="D36" s="141" t="str">
        <f t="shared" si="1"/>
        <v/>
      </c>
      <c r="E36" s="140" t="str">
        <f t="shared" si="2"/>
        <v/>
      </c>
      <c r="F36" s="141" t="str">
        <f t="shared" si="3"/>
        <v/>
      </c>
      <c r="G36" s="142" t="str">
        <f t="shared" si="4"/>
        <v/>
      </c>
      <c r="H36" s="143" t="str">
        <f t="shared" si="5"/>
        <v/>
      </c>
      <c r="I36" s="144" t="str">
        <f t="shared" si="6"/>
        <v/>
      </c>
      <c r="J36" s="82"/>
      <c r="L36" s="36">
        <v>31</v>
      </c>
      <c r="M36" s="39">
        <f t="shared" si="7"/>
        <v>0</v>
      </c>
      <c r="O36" s="41"/>
      <c r="Q36" s="92"/>
      <c r="R36" s="92"/>
    </row>
    <row r="37" spans="1:22" ht="14.5">
      <c r="A37" s="69"/>
      <c r="B37" s="256" t="str">
        <f>IF(ISERROR(VLOOKUP(L37,$M$6:$V$612,7,0)),"",(VLOOKUP(L37,$M$6:$V643,7,0)))</f>
        <v/>
      </c>
      <c r="C37" s="140" t="str">
        <f t="shared" si="0"/>
        <v/>
      </c>
      <c r="D37" s="141" t="str">
        <f t="shared" si="1"/>
        <v/>
      </c>
      <c r="E37" s="140" t="str">
        <f t="shared" si="2"/>
        <v/>
      </c>
      <c r="F37" s="141" t="str">
        <f t="shared" si="3"/>
        <v/>
      </c>
      <c r="G37" s="142" t="str">
        <f t="shared" si="4"/>
        <v/>
      </c>
      <c r="H37" s="143" t="str">
        <f t="shared" si="5"/>
        <v/>
      </c>
      <c r="I37" s="144" t="str">
        <f t="shared" si="6"/>
        <v/>
      </c>
      <c r="J37" s="82"/>
      <c r="L37" s="36">
        <v>32</v>
      </c>
      <c r="M37" s="39">
        <f t="shared" si="7"/>
        <v>0</v>
      </c>
      <c r="O37" s="41"/>
      <c r="Q37" s="92"/>
      <c r="R37" s="92"/>
    </row>
    <row r="38" spans="1:22" ht="14.5">
      <c r="A38" s="69"/>
      <c r="B38" s="256" t="str">
        <f>IF(ISERROR(VLOOKUP(L38,$M$6:$V$612,7,0)),"",(VLOOKUP(L38,$M$6:$V644,7,0)))</f>
        <v/>
      </c>
      <c r="C38" s="140" t="str">
        <f t="shared" ref="C38:C69" si="8">IF(ISERROR(VLOOKUP(L38,$M$6:$V$612,2,0)),"",(VLOOKUP(L38,$M$6:$V$612,2,0)))</f>
        <v/>
      </c>
      <c r="D38" s="141" t="str">
        <f t="shared" ref="D38:D69" si="9">IF(ISERROR(VLOOKUP(L38,$M$6:$V$612,8,0)),"",(VLOOKUP(L38,$M$6:$V$612,8,0)))</f>
        <v/>
      </c>
      <c r="E38" s="140" t="str">
        <f t="shared" ref="E38:E69" si="10">IF(ISERROR(VLOOKUP(L38,$M$6:$V$612,9,FALSE)),"",(VLOOKUP(L38,$M$6:$V$612,9,0)))</f>
        <v/>
      </c>
      <c r="F38" s="141" t="str">
        <f t="shared" ref="F38:F69" si="11">IF(ISERROR(VLOOKUP(L38,$M$6:$V$612,10,0)),"",(VLOOKUP(L38,$M$6:$V$612,10,0)))</f>
        <v/>
      </c>
      <c r="G38" s="142" t="str">
        <f t="shared" ref="G38:G69" si="12">IF(ISERROR(VLOOKUP(L38,$M$6:$V$612,5,0)),"",(VLOOKUP(L38,$M$6:$V$612,5,0)))</f>
        <v/>
      </c>
      <c r="H38" s="143" t="str">
        <f t="shared" ref="H38:H69" si="13">IF(ISERROR(VLOOKUP(L38,$M$6:$V$612,4,0)),"",(VLOOKUP(L38,$M$6:$V$612,4,0)))</f>
        <v/>
      </c>
      <c r="I38" s="144" t="str">
        <f t="shared" ref="I38:I69" si="14">IF(ISERROR(VLOOKUP(L38,$M$6:$V$612,6,0)),"",(VLOOKUP(L38,$M$6:$V$612,6,0)))</f>
        <v/>
      </c>
      <c r="J38" s="82"/>
      <c r="L38" s="2">
        <v>33</v>
      </c>
      <c r="M38" s="39">
        <f t="shared" si="7"/>
        <v>0</v>
      </c>
      <c r="N38" s="40" t="str">
        <f>'Straight Connection'!$C$15</f>
        <v>90° Elbows - PF Series</v>
      </c>
      <c r="O38" s="41"/>
      <c r="P38" s="39">
        <f>'Straight Connection'!H16</f>
        <v>0</v>
      </c>
      <c r="Q38" s="90">
        <f>'Straight Connection'!I16</f>
        <v>22.28</v>
      </c>
      <c r="R38" s="90">
        <f>'Straight Connection'!K16</f>
        <v>0</v>
      </c>
      <c r="S38" s="39">
        <f>'Straight Connection'!D16</f>
        <v>2811100380</v>
      </c>
      <c r="T38" s="39" t="str">
        <f>'Straight Connection'!E16</f>
        <v>20 / ¾"</v>
      </c>
      <c r="U38" s="40">
        <f>'Straight Connection'!F16</f>
        <v>0</v>
      </c>
      <c r="V38" s="39">
        <f>'Straight Connection'!G16</f>
        <v>1</v>
      </c>
    </row>
    <row r="39" spans="1:22" ht="14.5">
      <c r="A39" s="69"/>
      <c r="B39" s="256" t="str">
        <f>IF(ISERROR(VLOOKUP(L39,$M$6:$V$612,7,0)),"",(VLOOKUP(L39,$M$6:$V645,7,0)))</f>
        <v/>
      </c>
      <c r="C39" s="140" t="str">
        <f t="shared" si="8"/>
        <v/>
      </c>
      <c r="D39" s="141" t="str">
        <f t="shared" si="9"/>
        <v/>
      </c>
      <c r="E39" s="140" t="str">
        <f t="shared" si="10"/>
        <v/>
      </c>
      <c r="F39" s="141" t="str">
        <f t="shared" si="11"/>
        <v/>
      </c>
      <c r="G39" s="142" t="str">
        <f t="shared" si="12"/>
        <v/>
      </c>
      <c r="H39" s="143" t="str">
        <f t="shared" si="13"/>
        <v/>
      </c>
      <c r="I39" s="144" t="str">
        <f t="shared" si="14"/>
        <v/>
      </c>
      <c r="J39" s="82"/>
      <c r="L39" s="36">
        <v>34</v>
      </c>
      <c r="M39" s="39">
        <f t="shared" si="7"/>
        <v>0</v>
      </c>
      <c r="N39" s="40" t="str">
        <f>'Straight Connection'!$C$15</f>
        <v>90° Elbows - PF Series</v>
      </c>
      <c r="O39" s="41"/>
      <c r="P39" s="39">
        <f>'Straight Connection'!H17</f>
        <v>0</v>
      </c>
      <c r="Q39" s="90">
        <f>'Straight Connection'!I17</f>
        <v>26.3</v>
      </c>
      <c r="R39" s="90">
        <f>'Straight Connection'!K17</f>
        <v>0</v>
      </c>
      <c r="S39" s="39">
        <f>'Straight Connection'!D17</f>
        <v>2811200380</v>
      </c>
      <c r="T39" s="39" t="str">
        <f>'Straight Connection'!E17</f>
        <v>25 / 1"</v>
      </c>
      <c r="U39" s="40">
        <f>'Straight Connection'!F17</f>
        <v>0</v>
      </c>
      <c r="V39" s="39">
        <f>'Straight Connection'!G17</f>
        <v>1</v>
      </c>
    </row>
    <row r="40" spans="1:22" ht="14.5">
      <c r="A40" s="69"/>
      <c r="B40" s="256" t="str">
        <f>IF(ISERROR(VLOOKUP(L40,$M$6:$V$612,7,0)),"",(VLOOKUP(L40,$M$6:$V646,7,0)))</f>
        <v/>
      </c>
      <c r="C40" s="140" t="str">
        <f t="shared" si="8"/>
        <v/>
      </c>
      <c r="D40" s="141" t="str">
        <f t="shared" si="9"/>
        <v/>
      </c>
      <c r="E40" s="140" t="str">
        <f t="shared" si="10"/>
        <v/>
      </c>
      <c r="F40" s="141" t="str">
        <f t="shared" si="11"/>
        <v/>
      </c>
      <c r="G40" s="142" t="str">
        <f t="shared" si="12"/>
        <v/>
      </c>
      <c r="H40" s="143" t="str">
        <f t="shared" si="13"/>
        <v/>
      </c>
      <c r="I40" s="144" t="str">
        <f t="shared" si="14"/>
        <v/>
      </c>
      <c r="J40" s="82"/>
      <c r="L40" s="36">
        <v>35</v>
      </c>
      <c r="M40" s="39">
        <f t="shared" si="7"/>
        <v>0</v>
      </c>
      <c r="N40" s="40" t="str">
        <f>'Straight Connection'!$C$15</f>
        <v>90° Elbows - PF Series</v>
      </c>
      <c r="O40" s="41"/>
      <c r="P40" s="39">
        <f>'Straight Connection'!H18</f>
        <v>0</v>
      </c>
      <c r="Q40" s="90">
        <f>'Straight Connection'!I18</f>
        <v>52.13</v>
      </c>
      <c r="R40" s="90">
        <f>'Straight Connection'!K18</f>
        <v>0</v>
      </c>
      <c r="S40" s="39">
        <f>'Straight Connection'!D18</f>
        <v>2811400380</v>
      </c>
      <c r="T40" s="39" t="str">
        <f>'Straight Connection'!E18</f>
        <v>40 / 1½"</v>
      </c>
      <c r="U40" s="40">
        <f>'Straight Connection'!F18</f>
        <v>0</v>
      </c>
      <c r="V40" s="39">
        <f>'Straight Connection'!G18</f>
        <v>1</v>
      </c>
    </row>
    <row r="41" spans="1:22" ht="14.5">
      <c r="A41" s="69"/>
      <c r="B41" s="256" t="str">
        <f>IF(ISERROR(VLOOKUP(L41,$M$6:$V$612,7,0)),"",(VLOOKUP(L41,$M$6:$V647,7,0)))</f>
        <v/>
      </c>
      <c r="C41" s="140" t="str">
        <f t="shared" si="8"/>
        <v/>
      </c>
      <c r="D41" s="141" t="str">
        <f t="shared" si="9"/>
        <v/>
      </c>
      <c r="E41" s="140" t="str">
        <f t="shared" si="10"/>
        <v/>
      </c>
      <c r="F41" s="141" t="str">
        <f t="shared" si="11"/>
        <v/>
      </c>
      <c r="G41" s="142" t="str">
        <f t="shared" si="12"/>
        <v/>
      </c>
      <c r="H41" s="143" t="str">
        <f t="shared" si="13"/>
        <v/>
      </c>
      <c r="I41" s="144" t="str">
        <f t="shared" si="14"/>
        <v/>
      </c>
      <c r="J41" s="82"/>
      <c r="L41" s="36">
        <v>36</v>
      </c>
      <c r="M41" s="39">
        <f t="shared" si="7"/>
        <v>0</v>
      </c>
      <c r="N41" s="40" t="str">
        <f>'Straight Connection'!$C$15</f>
        <v>90° Elbows - PF Series</v>
      </c>
      <c r="O41" s="41"/>
      <c r="P41" s="39">
        <f>'Straight Connection'!H19</f>
        <v>0</v>
      </c>
      <c r="Q41" s="90">
        <f>'Straight Connection'!I19</f>
        <v>61.76</v>
      </c>
      <c r="R41" s="90">
        <f>'Straight Connection'!K19</f>
        <v>0</v>
      </c>
      <c r="S41" s="39">
        <f>'Straight Connection'!D19</f>
        <v>2811500380</v>
      </c>
      <c r="T41" s="39" t="str">
        <f>'Straight Connection'!E19</f>
        <v>50 / 2"</v>
      </c>
      <c r="U41" s="40">
        <f>'Straight Connection'!F19</f>
        <v>0</v>
      </c>
      <c r="V41" s="39">
        <f>'Straight Connection'!G19</f>
        <v>1</v>
      </c>
    </row>
    <row r="42" spans="1:22" ht="14.5">
      <c r="A42" s="69"/>
      <c r="B42" s="256" t="str">
        <f>IF(ISERROR(VLOOKUP(L42,$M$6:$V$612,7,0)),"",(VLOOKUP(L42,$M$6:$V648,7,0)))</f>
        <v/>
      </c>
      <c r="C42" s="140" t="str">
        <f t="shared" si="8"/>
        <v/>
      </c>
      <c r="D42" s="141" t="str">
        <f t="shared" si="9"/>
        <v/>
      </c>
      <c r="E42" s="140" t="str">
        <f t="shared" si="10"/>
        <v/>
      </c>
      <c r="F42" s="141" t="str">
        <f t="shared" si="11"/>
        <v/>
      </c>
      <c r="G42" s="142" t="str">
        <f t="shared" si="12"/>
        <v/>
      </c>
      <c r="H42" s="143" t="str">
        <f t="shared" si="13"/>
        <v/>
      </c>
      <c r="I42" s="144" t="str">
        <f t="shared" si="14"/>
        <v/>
      </c>
      <c r="J42" s="82"/>
      <c r="L42" s="36">
        <v>37</v>
      </c>
      <c r="M42" s="39">
        <f t="shared" si="7"/>
        <v>0</v>
      </c>
      <c r="O42" s="41"/>
      <c r="Q42" s="92"/>
      <c r="R42" s="92"/>
    </row>
    <row r="43" spans="1:22" ht="14.5">
      <c r="A43" s="69"/>
      <c r="B43" s="256" t="str">
        <f>IF(ISERROR(VLOOKUP(L43,$M$6:$V$612,7,0)),"",(VLOOKUP(L43,$M$6:$V649,7,0)))</f>
        <v/>
      </c>
      <c r="C43" s="140" t="str">
        <f t="shared" si="8"/>
        <v/>
      </c>
      <c r="D43" s="141" t="str">
        <f t="shared" si="9"/>
        <v/>
      </c>
      <c r="E43" s="140" t="str">
        <f t="shared" si="10"/>
        <v/>
      </c>
      <c r="F43" s="141" t="str">
        <f t="shared" si="11"/>
        <v/>
      </c>
      <c r="G43" s="142" t="str">
        <f t="shared" si="12"/>
        <v/>
      </c>
      <c r="H43" s="143" t="str">
        <f t="shared" si="13"/>
        <v/>
      </c>
      <c r="I43" s="144" t="str">
        <f t="shared" si="14"/>
        <v/>
      </c>
      <c r="J43" s="82"/>
      <c r="L43" s="36">
        <v>38</v>
      </c>
      <c r="M43" s="39">
        <f t="shared" si="7"/>
        <v>0</v>
      </c>
      <c r="O43" s="41"/>
      <c r="P43" s="2">
        <f>'Straight Connection'!H20</f>
        <v>0</v>
      </c>
      <c r="Q43" s="92"/>
      <c r="R43" s="92"/>
      <c r="S43" s="2">
        <f>'Straight Connection'!D20</f>
        <v>0</v>
      </c>
      <c r="T43" s="2">
        <f>'Straight Connection'!E20</f>
        <v>0</v>
      </c>
      <c r="U43">
        <f>'Straight Connection'!F20</f>
        <v>0</v>
      </c>
      <c r="V43" s="2">
        <f>'Straight Connection'!G20</f>
        <v>0</v>
      </c>
    </row>
    <row r="44" spans="1:22" ht="14.5">
      <c r="A44" s="69"/>
      <c r="B44" s="256" t="str">
        <f>IF(ISERROR(VLOOKUP(L44,$M$6:$V$612,7,0)),"",(VLOOKUP(L44,$M$6:$V650,7,0)))</f>
        <v/>
      </c>
      <c r="C44" s="140" t="str">
        <f t="shared" si="8"/>
        <v/>
      </c>
      <c r="D44" s="141" t="str">
        <f t="shared" si="9"/>
        <v/>
      </c>
      <c r="E44" s="140" t="str">
        <f t="shared" si="10"/>
        <v/>
      </c>
      <c r="F44" s="141" t="str">
        <f t="shared" si="11"/>
        <v/>
      </c>
      <c r="G44" s="142" t="str">
        <f t="shared" si="12"/>
        <v/>
      </c>
      <c r="H44" s="143" t="str">
        <f t="shared" si="13"/>
        <v/>
      </c>
      <c r="I44" s="144" t="str">
        <f t="shared" si="14"/>
        <v/>
      </c>
      <c r="J44" s="82"/>
      <c r="L44" s="36">
        <v>39</v>
      </c>
      <c r="M44" s="39">
        <f t="shared" si="7"/>
        <v>0</v>
      </c>
      <c r="O44" s="41"/>
      <c r="P44" s="2">
        <f>'Straight Connection'!H21</f>
        <v>0</v>
      </c>
      <c r="Q44" s="92"/>
      <c r="R44" s="92"/>
      <c r="S44" s="2">
        <f>'Straight Connection'!D21</f>
        <v>0</v>
      </c>
      <c r="T44" s="2">
        <f>'Straight Connection'!E21</f>
        <v>0</v>
      </c>
      <c r="U44">
        <f>'Straight Connection'!F21</f>
        <v>0</v>
      </c>
      <c r="V44" s="2">
        <f>'Straight Connection'!G21</f>
        <v>0</v>
      </c>
    </row>
    <row r="45" spans="1:22" ht="14.5">
      <c r="A45" s="69"/>
      <c r="B45" s="256" t="str">
        <f>IF(ISERROR(VLOOKUP(L45,$M$6:$V$612,7,0)),"",(VLOOKUP(L45,$M$6:$V651,7,0)))</f>
        <v/>
      </c>
      <c r="C45" s="140" t="str">
        <f t="shared" si="8"/>
        <v/>
      </c>
      <c r="D45" s="141" t="str">
        <f t="shared" si="9"/>
        <v/>
      </c>
      <c r="E45" s="140" t="str">
        <f t="shared" si="10"/>
        <v/>
      </c>
      <c r="F45" s="141" t="str">
        <f t="shared" si="11"/>
        <v/>
      </c>
      <c r="G45" s="142" t="str">
        <f t="shared" si="12"/>
        <v/>
      </c>
      <c r="H45" s="143" t="str">
        <f t="shared" si="13"/>
        <v/>
      </c>
      <c r="I45" s="144" t="str">
        <f t="shared" si="14"/>
        <v/>
      </c>
      <c r="J45" s="82"/>
      <c r="L45" s="36">
        <v>40</v>
      </c>
      <c r="M45" s="39">
        <f t="shared" si="7"/>
        <v>0</v>
      </c>
      <c r="N45" s="40" t="str">
        <f>'Straight Connection'!$C$21</f>
        <v>90° Elbows - PM &amp; Large Series</v>
      </c>
      <c r="O45" s="41"/>
      <c r="P45" s="39">
        <f>'Straight Connection'!H22</f>
        <v>0</v>
      </c>
      <c r="Q45" s="90">
        <f>'Straight Connection'!I22</f>
        <v>104.96</v>
      </c>
      <c r="R45" s="90">
        <f>'Straight Connection'!K22</f>
        <v>0</v>
      </c>
      <c r="S45" s="39">
        <f>'Straight Connection'!D22</f>
        <v>2811600390</v>
      </c>
      <c r="T45" s="39" t="str">
        <f>'Straight Connection'!E22</f>
        <v>63 / 2½"</v>
      </c>
      <c r="U45" s="40">
        <f>'Straight Connection'!F22</f>
        <v>0</v>
      </c>
      <c r="V45" s="39">
        <f>'Straight Connection'!G22</f>
        <v>1</v>
      </c>
    </row>
    <row r="46" spans="1:22" ht="14.5">
      <c r="A46" s="69"/>
      <c r="B46" s="256" t="str">
        <f>IF(ISERROR(VLOOKUP(L46,$M$6:$V$612,7,0)),"",(VLOOKUP(L46,$M$6:$V652,7,0)))</f>
        <v/>
      </c>
      <c r="C46" s="140" t="str">
        <f t="shared" si="8"/>
        <v/>
      </c>
      <c r="D46" s="141" t="str">
        <f t="shared" si="9"/>
        <v/>
      </c>
      <c r="E46" s="140" t="str">
        <f t="shared" si="10"/>
        <v/>
      </c>
      <c r="F46" s="141" t="str">
        <f t="shared" si="11"/>
        <v/>
      </c>
      <c r="G46" s="142" t="str">
        <f t="shared" si="12"/>
        <v/>
      </c>
      <c r="H46" s="143" t="str">
        <f t="shared" si="13"/>
        <v/>
      </c>
      <c r="I46" s="144" t="str">
        <f t="shared" si="14"/>
        <v/>
      </c>
      <c r="J46" s="82"/>
      <c r="L46" s="2">
        <v>41</v>
      </c>
      <c r="M46" s="39">
        <f t="shared" si="7"/>
        <v>0</v>
      </c>
      <c r="N46" s="40" t="str">
        <f>'Straight Connection'!$C$21</f>
        <v>90° Elbows - PM &amp; Large Series</v>
      </c>
      <c r="O46" s="41"/>
      <c r="P46" s="39">
        <f>'Straight Connection'!H23</f>
        <v>0</v>
      </c>
      <c r="Q46" s="90">
        <f>'Straight Connection'!I23</f>
        <v>121.91</v>
      </c>
      <c r="R46" s="90">
        <f>'Straight Connection'!K23</f>
        <v>0</v>
      </c>
      <c r="S46" s="39">
        <f>'Straight Connection'!D23</f>
        <v>2811700390</v>
      </c>
      <c r="T46" s="39" t="str">
        <f>'Straight Connection'!E23</f>
        <v>80 / 3"</v>
      </c>
      <c r="U46" s="40">
        <f>'Straight Connection'!F23</f>
        <v>0</v>
      </c>
      <c r="V46" s="39">
        <f>'Straight Connection'!G23</f>
        <v>1</v>
      </c>
    </row>
    <row r="47" spans="1:22" ht="14.5">
      <c r="A47" s="69"/>
      <c r="B47" s="256" t="str">
        <f>IF(ISERROR(VLOOKUP(L47,$M$6:$V$612,7,0)),"",(VLOOKUP(L47,$M$6:$V653,7,0)))</f>
        <v/>
      </c>
      <c r="C47" s="140" t="str">
        <f t="shared" si="8"/>
        <v/>
      </c>
      <c r="D47" s="141" t="str">
        <f t="shared" si="9"/>
        <v/>
      </c>
      <c r="E47" s="140" t="str">
        <f t="shared" si="10"/>
        <v/>
      </c>
      <c r="F47" s="141" t="str">
        <f t="shared" si="11"/>
        <v/>
      </c>
      <c r="G47" s="142" t="str">
        <f t="shared" si="12"/>
        <v/>
      </c>
      <c r="H47" s="143" t="str">
        <f t="shared" si="13"/>
        <v/>
      </c>
      <c r="I47" s="144" t="str">
        <f t="shared" si="14"/>
        <v/>
      </c>
      <c r="J47" s="82"/>
      <c r="L47" s="36">
        <v>42</v>
      </c>
      <c r="M47" s="39">
        <f t="shared" si="7"/>
        <v>0</v>
      </c>
      <c r="N47" s="40" t="str">
        <f>'Straight Connection'!$C$21</f>
        <v>90° Elbows - PM &amp; Large Series</v>
      </c>
      <c r="O47" s="41"/>
      <c r="P47" s="39">
        <f>'Straight Connection'!H24</f>
        <v>0</v>
      </c>
      <c r="Q47" s="90">
        <f>'Straight Connection'!I24</f>
        <v>131.01</v>
      </c>
      <c r="R47" s="90">
        <f>'Straight Connection'!K24</f>
        <v>0</v>
      </c>
      <c r="S47" s="39">
        <f>'Straight Connection'!D24</f>
        <v>2810800300</v>
      </c>
      <c r="T47" s="39" t="str">
        <f>'Straight Connection'!E24</f>
        <v>100 / 4"</v>
      </c>
      <c r="U47" s="40" t="str">
        <f>'Straight Connection'!F24</f>
        <v>Requires 2 Equal Unions</v>
      </c>
      <c r="V47" s="39">
        <f>'Straight Connection'!G24</f>
        <v>1</v>
      </c>
    </row>
    <row r="48" spans="1:22" ht="14.5">
      <c r="A48" s="69"/>
      <c r="B48" s="256" t="str">
        <f>IF(ISERROR(VLOOKUP(L48,$M$6:$V$612,7,0)),"",(VLOOKUP(L48,$M$6:$V654,7,0)))</f>
        <v/>
      </c>
      <c r="C48" s="140" t="str">
        <f t="shared" si="8"/>
        <v/>
      </c>
      <c r="D48" s="141" t="str">
        <f t="shared" si="9"/>
        <v/>
      </c>
      <c r="E48" s="140" t="str">
        <f t="shared" si="10"/>
        <v/>
      </c>
      <c r="F48" s="141" t="str">
        <f t="shared" si="11"/>
        <v/>
      </c>
      <c r="G48" s="142" t="str">
        <f t="shared" si="12"/>
        <v/>
      </c>
      <c r="H48" s="143" t="str">
        <f t="shared" si="13"/>
        <v/>
      </c>
      <c r="I48" s="144" t="str">
        <f t="shared" si="14"/>
        <v/>
      </c>
      <c r="J48" s="82"/>
      <c r="L48" s="36">
        <v>43</v>
      </c>
      <c r="M48" s="39">
        <f t="shared" si="7"/>
        <v>0</v>
      </c>
      <c r="N48" s="40" t="str">
        <f>'Straight Connection'!$C$21</f>
        <v>90° Elbows - PM &amp; Large Series</v>
      </c>
      <c r="O48" s="41"/>
      <c r="P48" s="39">
        <f>'Straight Connection'!H25</f>
        <v>0</v>
      </c>
      <c r="Q48" s="90">
        <f>'Straight Connection'!I25</f>
        <v>176.27</v>
      </c>
      <c r="R48" s="90">
        <f>'Straight Connection'!K25</f>
        <v>0</v>
      </c>
      <c r="S48" s="39">
        <f>'Straight Connection'!D25</f>
        <v>2810900300</v>
      </c>
      <c r="T48" s="39" t="str">
        <f>'Straight Connection'!E25</f>
        <v>158 / 6"</v>
      </c>
      <c r="U48" s="40" t="str">
        <f>'Straight Connection'!F25</f>
        <v>Requires 2 Equal Unions</v>
      </c>
      <c r="V48" s="39">
        <f>'Straight Connection'!G25</f>
        <v>1</v>
      </c>
    </row>
    <row r="49" spans="1:22" ht="14.5">
      <c r="A49" s="69"/>
      <c r="B49" s="256" t="str">
        <f>IF(ISERROR(VLOOKUP(L49,$M$6:$V$612,7,0)),"",(VLOOKUP(L49,$M$6:$V655,7,0)))</f>
        <v/>
      </c>
      <c r="C49" s="140" t="str">
        <f t="shared" si="8"/>
        <v/>
      </c>
      <c r="D49" s="141" t="str">
        <f t="shared" si="9"/>
        <v/>
      </c>
      <c r="E49" s="140" t="str">
        <f t="shared" si="10"/>
        <v/>
      </c>
      <c r="F49" s="141" t="str">
        <f t="shared" si="11"/>
        <v/>
      </c>
      <c r="G49" s="142" t="str">
        <f t="shared" si="12"/>
        <v/>
      </c>
      <c r="H49" s="143" t="str">
        <f t="shared" si="13"/>
        <v/>
      </c>
      <c r="I49" s="144" t="str">
        <f t="shared" si="14"/>
        <v/>
      </c>
      <c r="J49" s="82"/>
      <c r="L49" s="36">
        <v>44</v>
      </c>
      <c r="M49" s="39">
        <f t="shared" si="7"/>
        <v>0</v>
      </c>
      <c r="O49" s="41"/>
      <c r="P49" s="2">
        <f>'Straight Connection'!H26</f>
        <v>0</v>
      </c>
      <c r="Q49" s="92"/>
      <c r="R49" s="92"/>
      <c r="S49" s="2">
        <f>'Straight Connection'!D26</f>
        <v>0</v>
      </c>
      <c r="T49" s="2">
        <f>'Straight Connection'!E26</f>
        <v>0</v>
      </c>
      <c r="U49">
        <f>'Straight Connection'!F26</f>
        <v>0</v>
      </c>
      <c r="V49" s="2">
        <f>'Straight Connection'!G26</f>
        <v>0</v>
      </c>
    </row>
    <row r="50" spans="1:22" ht="14.5">
      <c r="A50" s="69"/>
      <c r="B50" s="256" t="str">
        <f>IF(ISERROR(VLOOKUP(L50,$M$6:$V$612,7,0)),"",(VLOOKUP(L50,$M$6:$V656,7,0)))</f>
        <v/>
      </c>
      <c r="C50" s="140" t="str">
        <f t="shared" si="8"/>
        <v/>
      </c>
      <c r="D50" s="141" t="str">
        <f t="shared" si="9"/>
        <v/>
      </c>
      <c r="E50" s="140" t="str">
        <f t="shared" si="10"/>
        <v/>
      </c>
      <c r="F50" s="141" t="str">
        <f t="shared" si="11"/>
        <v/>
      </c>
      <c r="G50" s="142" t="str">
        <f t="shared" si="12"/>
        <v/>
      </c>
      <c r="H50" s="143" t="str">
        <f t="shared" si="13"/>
        <v/>
      </c>
      <c r="I50" s="144" t="str">
        <f t="shared" si="14"/>
        <v/>
      </c>
      <c r="J50" s="82"/>
      <c r="L50" s="36">
        <v>45</v>
      </c>
      <c r="M50" s="39">
        <f t="shared" si="7"/>
        <v>0</v>
      </c>
      <c r="O50" s="41"/>
      <c r="P50" s="2">
        <f>'Straight Connection'!H27</f>
        <v>0</v>
      </c>
      <c r="Q50" s="92"/>
      <c r="R50" s="92"/>
      <c r="S50" s="2">
        <f>'Straight Connection'!D27</f>
        <v>0</v>
      </c>
      <c r="T50" s="2">
        <f>'Straight Connection'!E27</f>
        <v>0</v>
      </c>
      <c r="U50">
        <f>'Straight Connection'!F27</f>
        <v>0</v>
      </c>
      <c r="V50" s="2">
        <f>'Straight Connection'!G27</f>
        <v>0</v>
      </c>
    </row>
    <row r="51" spans="1:22" ht="14.5">
      <c r="A51" s="69"/>
      <c r="B51" s="256" t="str">
        <f>IF(ISERROR(VLOOKUP(L51,$M$6:$V$612,7,0)),"",(VLOOKUP(L51,$M$6:$V657,7,0)))</f>
        <v/>
      </c>
      <c r="C51" s="140" t="str">
        <f t="shared" si="8"/>
        <v/>
      </c>
      <c r="D51" s="141" t="str">
        <f t="shared" si="9"/>
        <v/>
      </c>
      <c r="E51" s="140" t="str">
        <f t="shared" si="10"/>
        <v/>
      </c>
      <c r="F51" s="141" t="str">
        <f t="shared" si="11"/>
        <v/>
      </c>
      <c r="G51" s="142" t="str">
        <f t="shared" si="12"/>
        <v/>
      </c>
      <c r="H51" s="143" t="str">
        <f t="shared" si="13"/>
        <v/>
      </c>
      <c r="I51" s="144" t="str">
        <f t="shared" si="14"/>
        <v/>
      </c>
      <c r="J51" s="82"/>
      <c r="L51" s="36">
        <v>46</v>
      </c>
      <c r="M51" s="39">
        <f t="shared" si="7"/>
        <v>0</v>
      </c>
      <c r="O51" s="41"/>
      <c r="P51" s="2">
        <f>'Straight Connection'!H28</f>
        <v>0</v>
      </c>
      <c r="Q51" s="92"/>
      <c r="R51" s="92"/>
      <c r="S51" s="2">
        <f>'Straight Connection'!D28</f>
        <v>0</v>
      </c>
      <c r="T51" s="2">
        <f>'Straight Connection'!E28</f>
        <v>0</v>
      </c>
      <c r="U51">
        <f>'Straight Connection'!F28</f>
        <v>0</v>
      </c>
      <c r="V51" s="2">
        <f>'Straight Connection'!G28</f>
        <v>0</v>
      </c>
    </row>
    <row r="52" spans="1:22" ht="14.5">
      <c r="A52" s="69"/>
      <c r="B52" s="256" t="str">
        <f>IF(ISERROR(VLOOKUP(L52,$M$6:$V$612,7,0)),"",(VLOOKUP(L52,$M$6:$V658,7,0)))</f>
        <v/>
      </c>
      <c r="C52" s="140" t="str">
        <f t="shared" si="8"/>
        <v/>
      </c>
      <c r="D52" s="141" t="str">
        <f t="shared" si="9"/>
        <v/>
      </c>
      <c r="E52" s="140" t="str">
        <f t="shared" si="10"/>
        <v/>
      </c>
      <c r="F52" s="141" t="str">
        <f t="shared" si="11"/>
        <v/>
      </c>
      <c r="G52" s="142" t="str">
        <f t="shared" si="12"/>
        <v/>
      </c>
      <c r="H52" s="143" t="str">
        <f t="shared" si="13"/>
        <v/>
      </c>
      <c r="I52" s="144" t="str">
        <f t="shared" si="14"/>
        <v/>
      </c>
      <c r="J52" s="82"/>
      <c r="L52" s="36">
        <v>47</v>
      </c>
      <c r="M52" s="39">
        <f t="shared" si="7"/>
        <v>0</v>
      </c>
      <c r="N52" s="40" t="str">
        <f>'Straight Connection'!$C$28</f>
        <v>45° Elbow - PF Series</v>
      </c>
      <c r="O52" s="41"/>
      <c r="P52" s="39">
        <f>'Straight Connection'!H29</f>
        <v>0</v>
      </c>
      <c r="Q52" s="90">
        <f>'Straight Connection'!I29</f>
        <v>32.090000000000003</v>
      </c>
      <c r="R52" s="90">
        <f>'Straight Connection'!K29</f>
        <v>0</v>
      </c>
      <c r="S52" s="39">
        <f>'Straight Connection'!D29</f>
        <v>2811100480</v>
      </c>
      <c r="T52" s="39" t="str">
        <f>'Straight Connection'!E29</f>
        <v>20 / ¾"</v>
      </c>
      <c r="U52" s="40">
        <f>'Straight Connection'!F29</f>
        <v>0</v>
      </c>
      <c r="V52" s="39">
        <f>'Straight Connection'!G29</f>
        <v>1</v>
      </c>
    </row>
    <row r="53" spans="1:22" ht="14.5">
      <c r="A53" s="69"/>
      <c r="B53" s="256" t="str">
        <f>IF(ISERROR(VLOOKUP(L53,$M$6:$V$612,7,0)),"",(VLOOKUP(L53,$M$6:$V659,7,0)))</f>
        <v/>
      </c>
      <c r="C53" s="140" t="str">
        <f t="shared" si="8"/>
        <v/>
      </c>
      <c r="D53" s="141" t="str">
        <f t="shared" si="9"/>
        <v/>
      </c>
      <c r="E53" s="140" t="str">
        <f t="shared" si="10"/>
        <v/>
      </c>
      <c r="F53" s="141" t="str">
        <f t="shared" si="11"/>
        <v/>
      </c>
      <c r="G53" s="142" t="str">
        <f t="shared" si="12"/>
        <v/>
      </c>
      <c r="H53" s="143" t="str">
        <f t="shared" si="13"/>
        <v/>
      </c>
      <c r="I53" s="144" t="str">
        <f t="shared" si="14"/>
        <v/>
      </c>
      <c r="J53" s="82"/>
      <c r="L53" s="36">
        <v>48</v>
      </c>
      <c r="M53" s="39">
        <f t="shared" si="7"/>
        <v>0</v>
      </c>
      <c r="N53" s="40" t="str">
        <f>'Straight Connection'!$C$28</f>
        <v>45° Elbow - PF Series</v>
      </c>
      <c r="O53" s="41"/>
      <c r="P53" s="39">
        <f>'Straight Connection'!H30</f>
        <v>0</v>
      </c>
      <c r="Q53" s="90">
        <f>'Straight Connection'!I30</f>
        <v>25.46</v>
      </c>
      <c r="R53" s="90">
        <f>'Straight Connection'!K30</f>
        <v>0</v>
      </c>
      <c r="S53" s="39">
        <f>'Straight Connection'!D30</f>
        <v>2811200480</v>
      </c>
      <c r="T53" s="39" t="str">
        <f>'Straight Connection'!E30</f>
        <v>25 / 1"</v>
      </c>
      <c r="U53" s="40">
        <f>'Straight Connection'!F30</f>
        <v>0</v>
      </c>
      <c r="V53" s="39">
        <f>'Straight Connection'!G30</f>
        <v>1</v>
      </c>
    </row>
    <row r="54" spans="1:22" ht="14.5">
      <c r="A54" s="69"/>
      <c r="B54" s="256" t="str">
        <f>IF(ISERROR(VLOOKUP(L54,$M$6:$V$612,7,0)),"",(VLOOKUP(L54,$M$6:$V660,7,0)))</f>
        <v/>
      </c>
      <c r="C54" s="140" t="str">
        <f t="shared" si="8"/>
        <v/>
      </c>
      <c r="D54" s="141" t="str">
        <f t="shared" si="9"/>
        <v/>
      </c>
      <c r="E54" s="140" t="str">
        <f t="shared" si="10"/>
        <v/>
      </c>
      <c r="F54" s="141" t="str">
        <f t="shared" si="11"/>
        <v/>
      </c>
      <c r="G54" s="142" t="str">
        <f t="shared" si="12"/>
        <v/>
      </c>
      <c r="H54" s="143" t="str">
        <f t="shared" si="13"/>
        <v/>
      </c>
      <c r="I54" s="144" t="str">
        <f t="shared" si="14"/>
        <v/>
      </c>
      <c r="J54" s="82"/>
      <c r="L54" s="2">
        <v>49</v>
      </c>
      <c r="M54" s="39">
        <f t="shared" si="7"/>
        <v>0</v>
      </c>
      <c r="N54" s="40" t="str">
        <f>'Straight Connection'!$C$28</f>
        <v>45° Elbow - PF Series</v>
      </c>
      <c r="O54" s="41"/>
      <c r="P54" s="39">
        <f>'Straight Connection'!H31</f>
        <v>0</v>
      </c>
      <c r="Q54" s="90">
        <f>'Straight Connection'!I31</f>
        <v>50.52</v>
      </c>
      <c r="R54" s="90">
        <f>'Straight Connection'!K31</f>
        <v>0</v>
      </c>
      <c r="S54" s="39">
        <f>'Straight Connection'!D31</f>
        <v>2811400480</v>
      </c>
      <c r="T54" s="39" t="str">
        <f>'Straight Connection'!E31</f>
        <v>40 / 1½"</v>
      </c>
      <c r="U54" s="40">
        <f>'Straight Connection'!F31</f>
        <v>0</v>
      </c>
      <c r="V54" s="39">
        <f>'Straight Connection'!G31</f>
        <v>1</v>
      </c>
    </row>
    <row r="55" spans="1:22" ht="14.5">
      <c r="A55" s="69"/>
      <c r="B55" s="256" t="str">
        <f>IF(ISERROR(VLOOKUP(L55,$M$6:$V$612,7,0)),"",(VLOOKUP(L55,$M$6:$V661,7,0)))</f>
        <v/>
      </c>
      <c r="C55" s="140" t="str">
        <f t="shared" si="8"/>
        <v/>
      </c>
      <c r="D55" s="141" t="str">
        <f t="shared" si="9"/>
        <v/>
      </c>
      <c r="E55" s="140" t="str">
        <f t="shared" si="10"/>
        <v/>
      </c>
      <c r="F55" s="141" t="str">
        <f t="shared" si="11"/>
        <v/>
      </c>
      <c r="G55" s="142" t="str">
        <f t="shared" si="12"/>
        <v/>
      </c>
      <c r="H55" s="143" t="str">
        <f t="shared" si="13"/>
        <v/>
      </c>
      <c r="I55" s="144" t="str">
        <f t="shared" si="14"/>
        <v/>
      </c>
      <c r="J55" s="82"/>
      <c r="L55" s="36">
        <v>50</v>
      </c>
      <c r="M55" s="39">
        <f t="shared" si="7"/>
        <v>0</v>
      </c>
      <c r="N55" s="40" t="str">
        <f>'Straight Connection'!$C$28</f>
        <v>45° Elbow - PF Series</v>
      </c>
      <c r="O55" s="41"/>
      <c r="P55" s="39">
        <f>'Straight Connection'!H32</f>
        <v>0</v>
      </c>
      <c r="Q55" s="90">
        <f>'Straight Connection'!I32</f>
        <v>63.61</v>
      </c>
      <c r="R55" s="90">
        <f>'Straight Connection'!K32</f>
        <v>0</v>
      </c>
      <c r="S55" s="39">
        <f>'Straight Connection'!D32</f>
        <v>2811500480</v>
      </c>
      <c r="T55" s="39" t="str">
        <f>'Straight Connection'!E32</f>
        <v>50 / 2"</v>
      </c>
      <c r="U55" s="40">
        <f>'Straight Connection'!F32</f>
        <v>0</v>
      </c>
      <c r="V55" s="39">
        <f>'Straight Connection'!G32</f>
        <v>1</v>
      </c>
    </row>
    <row r="56" spans="1:22" ht="14.5">
      <c r="A56" s="69"/>
      <c r="B56" s="256" t="str">
        <f>IF(ISERROR(VLOOKUP(L56,$M$6:$V$612,7,0)),"",(VLOOKUP(L56,$M$6:$V662,7,0)))</f>
        <v/>
      </c>
      <c r="C56" s="140" t="str">
        <f t="shared" si="8"/>
        <v/>
      </c>
      <c r="D56" s="141" t="str">
        <f t="shared" si="9"/>
        <v/>
      </c>
      <c r="E56" s="140" t="str">
        <f t="shared" si="10"/>
        <v/>
      </c>
      <c r="F56" s="141" t="str">
        <f t="shared" si="11"/>
        <v/>
      </c>
      <c r="G56" s="142" t="str">
        <f t="shared" si="12"/>
        <v/>
      </c>
      <c r="H56" s="143" t="str">
        <f t="shared" si="13"/>
        <v/>
      </c>
      <c r="I56" s="144" t="str">
        <f t="shared" si="14"/>
        <v/>
      </c>
      <c r="J56" s="82"/>
      <c r="L56" s="36">
        <v>51</v>
      </c>
      <c r="M56" s="39">
        <f t="shared" si="7"/>
        <v>0</v>
      </c>
      <c r="O56" s="41"/>
      <c r="P56" s="2">
        <f>'Straight Connection'!H33</f>
        <v>0</v>
      </c>
      <c r="Q56" s="92"/>
      <c r="R56" s="92"/>
      <c r="S56" s="2">
        <f>'Straight Connection'!D33</f>
        <v>0</v>
      </c>
      <c r="T56" s="2">
        <f>'Straight Connection'!E33</f>
        <v>0</v>
      </c>
      <c r="U56">
        <f>'Straight Connection'!F33</f>
        <v>0</v>
      </c>
      <c r="V56" s="2">
        <f>'Straight Connection'!G33</f>
        <v>0</v>
      </c>
    </row>
    <row r="57" spans="1:22" ht="14.5">
      <c r="A57" s="69"/>
      <c r="B57" s="256" t="str">
        <f>IF(ISERROR(VLOOKUP(L57,$M$6:$V$612,7,0)),"",(VLOOKUP(L57,$M$6:$V663,7,0)))</f>
        <v/>
      </c>
      <c r="C57" s="140" t="str">
        <f t="shared" si="8"/>
        <v/>
      </c>
      <c r="D57" s="141" t="str">
        <f t="shared" si="9"/>
        <v/>
      </c>
      <c r="E57" s="140" t="str">
        <f t="shared" si="10"/>
        <v/>
      </c>
      <c r="F57" s="141" t="str">
        <f t="shared" si="11"/>
        <v/>
      </c>
      <c r="G57" s="142" t="str">
        <f t="shared" si="12"/>
        <v/>
      </c>
      <c r="H57" s="143" t="str">
        <f t="shared" si="13"/>
        <v/>
      </c>
      <c r="I57" s="144" t="str">
        <f t="shared" si="14"/>
        <v/>
      </c>
      <c r="J57" s="82"/>
      <c r="L57" s="36">
        <v>52</v>
      </c>
      <c r="M57" s="39">
        <f t="shared" si="7"/>
        <v>0</v>
      </c>
      <c r="N57" s="40" t="str">
        <f>'Straight Connection'!$C$33</f>
        <v>45° Elbow - PM &amp; Large Series</v>
      </c>
      <c r="O57" s="41"/>
      <c r="P57" s="39">
        <f>'Straight Connection'!H34</f>
        <v>0</v>
      </c>
      <c r="Q57" s="90">
        <f>'Straight Connection'!I34</f>
        <v>104.96</v>
      </c>
      <c r="R57" s="90">
        <f>'Straight Connection'!K34</f>
        <v>0</v>
      </c>
      <c r="S57" s="39">
        <f>'Straight Connection'!D34</f>
        <v>2811600490</v>
      </c>
      <c r="T57" s="39" t="str">
        <f>'Straight Connection'!E34</f>
        <v>63 / 2½"</v>
      </c>
      <c r="U57" s="40">
        <f>'Straight Connection'!F34</f>
        <v>0</v>
      </c>
      <c r="V57" s="39">
        <f>'Straight Connection'!G34</f>
        <v>1</v>
      </c>
    </row>
    <row r="58" spans="1:22" ht="14.5">
      <c r="A58" s="69"/>
      <c r="B58" s="256" t="str">
        <f>IF(ISERROR(VLOOKUP(L58,$M$6:$V$612,7,0)),"",(VLOOKUP(L58,$M$6:$V664,7,0)))</f>
        <v/>
      </c>
      <c r="C58" s="140" t="str">
        <f t="shared" si="8"/>
        <v/>
      </c>
      <c r="D58" s="141" t="str">
        <f t="shared" si="9"/>
        <v/>
      </c>
      <c r="E58" s="140" t="str">
        <f t="shared" si="10"/>
        <v/>
      </c>
      <c r="F58" s="141" t="str">
        <f t="shared" si="11"/>
        <v/>
      </c>
      <c r="G58" s="142" t="str">
        <f t="shared" si="12"/>
        <v/>
      </c>
      <c r="H58" s="143" t="str">
        <f t="shared" si="13"/>
        <v/>
      </c>
      <c r="I58" s="144" t="str">
        <f t="shared" si="14"/>
        <v/>
      </c>
      <c r="J58" s="82"/>
      <c r="L58" s="36">
        <v>53</v>
      </c>
      <c r="M58" s="39">
        <f t="shared" si="7"/>
        <v>0</v>
      </c>
      <c r="N58" s="40" t="str">
        <f>'Straight Connection'!$C$33</f>
        <v>45° Elbow - PM &amp; Large Series</v>
      </c>
      <c r="O58" s="41"/>
      <c r="P58" s="39">
        <f>'Straight Connection'!H35</f>
        <v>0</v>
      </c>
      <c r="Q58" s="90">
        <f>'Straight Connection'!I35</f>
        <v>132.38</v>
      </c>
      <c r="R58" s="90">
        <f>'Straight Connection'!K35</f>
        <v>0</v>
      </c>
      <c r="S58" s="39">
        <f>'Straight Connection'!D35</f>
        <v>2811700490</v>
      </c>
      <c r="T58" s="39" t="str">
        <f>'Straight Connection'!E35</f>
        <v>80 / 3"</v>
      </c>
      <c r="U58" s="40">
        <f>'Straight Connection'!F35</f>
        <v>0</v>
      </c>
      <c r="V58" s="39">
        <f>'Straight Connection'!G35</f>
        <v>1</v>
      </c>
    </row>
    <row r="59" spans="1:22" ht="14.5">
      <c r="A59" s="69"/>
      <c r="B59" s="256" t="str">
        <f>IF(ISERROR(VLOOKUP(L59,$M$6:$V$612,7,0)),"",(VLOOKUP(L59,$M$6:$V665,7,0)))</f>
        <v/>
      </c>
      <c r="C59" s="140" t="str">
        <f t="shared" si="8"/>
        <v/>
      </c>
      <c r="D59" s="141" t="str">
        <f t="shared" si="9"/>
        <v/>
      </c>
      <c r="E59" s="140" t="str">
        <f t="shared" si="10"/>
        <v/>
      </c>
      <c r="F59" s="141" t="str">
        <f t="shared" si="11"/>
        <v/>
      </c>
      <c r="G59" s="142" t="str">
        <f t="shared" si="12"/>
        <v/>
      </c>
      <c r="H59" s="143" t="str">
        <f t="shared" si="13"/>
        <v/>
      </c>
      <c r="I59" s="144" t="str">
        <f t="shared" si="14"/>
        <v/>
      </c>
      <c r="J59" s="82"/>
      <c r="L59" s="36">
        <v>54</v>
      </c>
      <c r="M59" s="39">
        <f t="shared" si="7"/>
        <v>0</v>
      </c>
      <c r="N59" s="40" t="str">
        <f>'Straight Connection'!$C$33</f>
        <v>45° Elbow - PM &amp; Large Series</v>
      </c>
      <c r="O59" s="41"/>
      <c r="P59" s="39">
        <f>'Straight Connection'!H36</f>
        <v>0</v>
      </c>
      <c r="Q59" s="90">
        <f>'Straight Connection'!I36</f>
        <v>143.03</v>
      </c>
      <c r="R59" s="90">
        <f>'Straight Connection'!K36</f>
        <v>0</v>
      </c>
      <c r="S59" s="39">
        <f>'Straight Connection'!D36</f>
        <v>2810800400</v>
      </c>
      <c r="T59" s="39" t="str">
        <f>'Straight Connection'!E36</f>
        <v>100 / 4"</v>
      </c>
      <c r="U59" s="40" t="str">
        <f>'Straight Connection'!F36</f>
        <v>Requires 2 Equal Unions</v>
      </c>
      <c r="V59" s="39">
        <f>'Straight Connection'!G36</f>
        <v>1</v>
      </c>
    </row>
    <row r="60" spans="1:22" ht="14.5">
      <c r="A60" s="69"/>
      <c r="B60" s="256" t="str">
        <f>IF(ISERROR(VLOOKUP(L60,$M$6:$V$612,7,0)),"",(VLOOKUP(L60,$M$6:$V666,7,0)))</f>
        <v/>
      </c>
      <c r="C60" s="140" t="str">
        <f t="shared" si="8"/>
        <v/>
      </c>
      <c r="D60" s="141" t="str">
        <f t="shared" si="9"/>
        <v/>
      </c>
      <c r="E60" s="140" t="str">
        <f t="shared" si="10"/>
        <v/>
      </c>
      <c r="F60" s="141" t="str">
        <f t="shared" si="11"/>
        <v/>
      </c>
      <c r="G60" s="142" t="str">
        <f t="shared" si="12"/>
        <v/>
      </c>
      <c r="H60" s="143" t="str">
        <f t="shared" si="13"/>
        <v/>
      </c>
      <c r="I60" s="144" t="str">
        <f t="shared" si="14"/>
        <v/>
      </c>
      <c r="J60" s="82"/>
      <c r="L60" s="36">
        <v>55</v>
      </c>
      <c r="M60" s="39">
        <f t="shared" si="7"/>
        <v>0</v>
      </c>
      <c r="N60" s="40" t="str">
        <f>'Straight Connection'!$C$33</f>
        <v>45° Elbow - PM &amp; Large Series</v>
      </c>
      <c r="O60" s="41"/>
      <c r="P60" s="39">
        <f>'Straight Connection'!H37</f>
        <v>0</v>
      </c>
      <c r="Q60" s="90">
        <f>'Straight Connection'!I37</f>
        <v>177.35</v>
      </c>
      <c r="R60" s="90">
        <f>'Straight Connection'!K37</f>
        <v>0</v>
      </c>
      <c r="S60" s="39">
        <f>'Straight Connection'!D37</f>
        <v>2810900400</v>
      </c>
      <c r="T60" s="39" t="str">
        <f>'Straight Connection'!E37</f>
        <v>158 / 6"</v>
      </c>
      <c r="U60" s="40" t="str">
        <f>'Straight Connection'!F37</f>
        <v>Requires 2 Equal Unions</v>
      </c>
      <c r="V60" s="39">
        <f>'Straight Connection'!G37</f>
        <v>1</v>
      </c>
    </row>
    <row r="61" spans="1:22" ht="14.5">
      <c r="A61" s="69"/>
      <c r="B61" s="256" t="str">
        <f>IF(ISERROR(VLOOKUP(L61,$M$6:$V$612,7,0)),"",(VLOOKUP(L61,$M$6:$V667,7,0)))</f>
        <v/>
      </c>
      <c r="C61" s="140" t="str">
        <f t="shared" si="8"/>
        <v/>
      </c>
      <c r="D61" s="141" t="str">
        <f t="shared" si="9"/>
        <v/>
      </c>
      <c r="E61" s="140" t="str">
        <f t="shared" si="10"/>
        <v/>
      </c>
      <c r="F61" s="141" t="str">
        <f t="shared" si="11"/>
        <v/>
      </c>
      <c r="G61" s="142" t="str">
        <f t="shared" si="12"/>
        <v/>
      </c>
      <c r="H61" s="143" t="str">
        <f t="shared" si="13"/>
        <v/>
      </c>
      <c r="I61" s="144" t="str">
        <f t="shared" si="14"/>
        <v/>
      </c>
      <c r="J61" s="82"/>
      <c r="L61" s="36">
        <v>56</v>
      </c>
      <c r="M61" s="39">
        <f t="shared" si="7"/>
        <v>0</v>
      </c>
      <c r="O61" s="41"/>
      <c r="P61" s="2">
        <f>'Straight Connection'!H40</f>
        <v>0</v>
      </c>
      <c r="Q61" s="92"/>
      <c r="R61" s="92"/>
      <c r="S61" s="2">
        <f>'Straight Connection'!D40</f>
        <v>0</v>
      </c>
      <c r="T61" s="2">
        <f>'Straight Connection'!E40</f>
        <v>0</v>
      </c>
      <c r="U61">
        <f>'Straight Connection'!F40</f>
        <v>0</v>
      </c>
      <c r="V61" s="2">
        <f>'Straight Connection'!G40</f>
        <v>0</v>
      </c>
    </row>
    <row r="62" spans="1:22" ht="14.5">
      <c r="A62" s="69"/>
      <c r="B62" s="256" t="str">
        <f>IF(ISERROR(VLOOKUP(L62,$M$6:$V$612,7,0)),"",(VLOOKUP(L62,$M$6:$V668,7,0)))</f>
        <v/>
      </c>
      <c r="C62" s="140" t="str">
        <f t="shared" si="8"/>
        <v/>
      </c>
      <c r="D62" s="141" t="str">
        <f t="shared" si="9"/>
        <v/>
      </c>
      <c r="E62" s="140" t="str">
        <f t="shared" si="10"/>
        <v/>
      </c>
      <c r="F62" s="141" t="str">
        <f t="shared" si="11"/>
        <v/>
      </c>
      <c r="G62" s="142" t="str">
        <f t="shared" si="12"/>
        <v/>
      </c>
      <c r="H62" s="143" t="str">
        <f t="shared" si="13"/>
        <v/>
      </c>
      <c r="I62" s="144" t="str">
        <f t="shared" si="14"/>
        <v/>
      </c>
      <c r="J62" s="82"/>
      <c r="L62" s="2">
        <v>57</v>
      </c>
      <c r="M62" s="39">
        <f t="shared" si="7"/>
        <v>0</v>
      </c>
      <c r="N62" s="40" t="str">
        <f>'Straight Connection'!$C$40</f>
        <v>Equal Tee - PF Series</v>
      </c>
      <c r="O62" s="41"/>
      <c r="P62" s="39">
        <f>'Straight Connection'!H41</f>
        <v>0</v>
      </c>
      <c r="Q62" s="90">
        <f>'Straight Connection'!I41</f>
        <v>27.17</v>
      </c>
      <c r="R62" s="90">
        <f>'Straight Connection'!K41</f>
        <v>0</v>
      </c>
      <c r="S62" s="39">
        <f>'Straight Connection'!D41</f>
        <v>2811100580</v>
      </c>
      <c r="T62" s="39" t="str">
        <f>'Straight Connection'!E41</f>
        <v>20 / ¾"</v>
      </c>
      <c r="U62" s="40">
        <f>'Straight Connection'!F41</f>
        <v>0</v>
      </c>
      <c r="V62" s="39">
        <f>'Straight Connection'!G41</f>
        <v>1</v>
      </c>
    </row>
    <row r="63" spans="1:22" ht="14.5">
      <c r="A63" s="69"/>
      <c r="B63" s="256" t="str">
        <f>IF(ISERROR(VLOOKUP(L63,$M$6:$V$612,7,0)),"",(VLOOKUP(L63,$M$6:$V669,7,0)))</f>
        <v/>
      </c>
      <c r="C63" s="140" t="str">
        <f t="shared" si="8"/>
        <v/>
      </c>
      <c r="D63" s="141" t="str">
        <f t="shared" si="9"/>
        <v/>
      </c>
      <c r="E63" s="140" t="str">
        <f t="shared" si="10"/>
        <v/>
      </c>
      <c r="F63" s="141" t="str">
        <f t="shared" si="11"/>
        <v/>
      </c>
      <c r="G63" s="142" t="str">
        <f t="shared" si="12"/>
        <v/>
      </c>
      <c r="H63" s="143" t="str">
        <f t="shared" si="13"/>
        <v/>
      </c>
      <c r="I63" s="144" t="str">
        <f t="shared" si="14"/>
        <v/>
      </c>
      <c r="J63" s="82"/>
      <c r="L63" s="36">
        <v>58</v>
      </c>
      <c r="M63" s="39">
        <f t="shared" si="7"/>
        <v>0</v>
      </c>
      <c r="N63" s="40" t="str">
        <f>'Straight Connection'!$C$40</f>
        <v>Equal Tee - PF Series</v>
      </c>
      <c r="O63" s="41"/>
      <c r="P63" s="39">
        <f>'Straight Connection'!H42</f>
        <v>0</v>
      </c>
      <c r="Q63" s="90">
        <f>'Straight Connection'!I42</f>
        <v>32.99</v>
      </c>
      <c r="R63" s="90">
        <f>'Straight Connection'!K42</f>
        <v>0</v>
      </c>
      <c r="S63" s="39">
        <f>'Straight Connection'!D42</f>
        <v>2811200580</v>
      </c>
      <c r="T63" s="39" t="str">
        <f>'Straight Connection'!E42</f>
        <v>25 / 1"</v>
      </c>
      <c r="U63" s="40">
        <f>'Straight Connection'!F42</f>
        <v>0</v>
      </c>
      <c r="V63" s="39">
        <f>'Straight Connection'!G42</f>
        <v>1</v>
      </c>
    </row>
    <row r="64" spans="1:22" ht="14.5">
      <c r="A64" s="69"/>
      <c r="B64" s="256" t="str">
        <f>IF(ISERROR(VLOOKUP(L64,$M$6:$V$612,7,0)),"",(VLOOKUP(L64,$M$6:$V670,7,0)))</f>
        <v/>
      </c>
      <c r="C64" s="140" t="str">
        <f t="shared" si="8"/>
        <v/>
      </c>
      <c r="D64" s="141" t="str">
        <f t="shared" si="9"/>
        <v/>
      </c>
      <c r="E64" s="140" t="str">
        <f t="shared" si="10"/>
        <v/>
      </c>
      <c r="F64" s="141" t="str">
        <f t="shared" si="11"/>
        <v/>
      </c>
      <c r="G64" s="142" t="str">
        <f t="shared" si="12"/>
        <v/>
      </c>
      <c r="H64" s="143" t="str">
        <f t="shared" si="13"/>
        <v/>
      </c>
      <c r="I64" s="144" t="str">
        <f t="shared" si="14"/>
        <v/>
      </c>
      <c r="J64" s="82"/>
      <c r="L64" s="36">
        <v>59</v>
      </c>
      <c r="M64" s="39">
        <f t="shared" si="7"/>
        <v>0</v>
      </c>
      <c r="N64" s="40" t="str">
        <f>'Straight Connection'!$C$40</f>
        <v>Equal Tee - PF Series</v>
      </c>
      <c r="O64" s="41"/>
      <c r="P64" s="39">
        <f>'Straight Connection'!H43</f>
        <v>0</v>
      </c>
      <c r="Q64" s="90">
        <f>'Straight Connection'!I43</f>
        <v>57.74</v>
      </c>
      <c r="R64" s="90">
        <f>'Straight Connection'!K43</f>
        <v>0</v>
      </c>
      <c r="S64" s="39">
        <f>'Straight Connection'!D43</f>
        <v>2811400580</v>
      </c>
      <c r="T64" s="39" t="str">
        <f>'Straight Connection'!E43</f>
        <v>40 / 1½"</v>
      </c>
      <c r="U64" s="40">
        <f>'Straight Connection'!F43</f>
        <v>0</v>
      </c>
      <c r="V64" s="39">
        <f>'Straight Connection'!G43</f>
        <v>1</v>
      </c>
    </row>
    <row r="65" spans="1:22" ht="14.5">
      <c r="A65" s="69"/>
      <c r="B65" s="256" t="str">
        <f>IF(ISERROR(VLOOKUP(L65,$M$6:$V$612,7,0)),"",(VLOOKUP(L65,$M$6:$V671,7,0)))</f>
        <v/>
      </c>
      <c r="C65" s="140" t="str">
        <f t="shared" si="8"/>
        <v/>
      </c>
      <c r="D65" s="141" t="str">
        <f t="shared" si="9"/>
        <v/>
      </c>
      <c r="E65" s="140" t="str">
        <f t="shared" si="10"/>
        <v/>
      </c>
      <c r="F65" s="141" t="str">
        <f t="shared" si="11"/>
        <v/>
      </c>
      <c r="G65" s="142" t="str">
        <f t="shared" si="12"/>
        <v/>
      </c>
      <c r="H65" s="143" t="str">
        <f t="shared" si="13"/>
        <v/>
      </c>
      <c r="I65" s="144" t="str">
        <f t="shared" si="14"/>
        <v/>
      </c>
      <c r="J65" s="82"/>
      <c r="L65" s="36">
        <v>60</v>
      </c>
      <c r="M65" s="39">
        <f t="shared" si="7"/>
        <v>0</v>
      </c>
      <c r="N65" s="40" t="str">
        <f>'Straight Connection'!$C$40</f>
        <v>Equal Tee - PF Series</v>
      </c>
      <c r="O65" s="41"/>
      <c r="P65" s="39">
        <f>'Straight Connection'!H44</f>
        <v>0</v>
      </c>
      <c r="Q65" s="90">
        <f>'Straight Connection'!I44</f>
        <v>81.19</v>
      </c>
      <c r="R65" s="90">
        <f>'Straight Connection'!K44</f>
        <v>0</v>
      </c>
      <c r="S65" s="39">
        <f>'Straight Connection'!D44</f>
        <v>2811500580</v>
      </c>
      <c r="T65" s="39" t="str">
        <f>'Straight Connection'!E44</f>
        <v>50 / 2"</v>
      </c>
      <c r="U65" s="40">
        <f>'Straight Connection'!F44</f>
        <v>0</v>
      </c>
      <c r="V65" s="39">
        <f>'Straight Connection'!G44</f>
        <v>1</v>
      </c>
    </row>
    <row r="66" spans="1:22" ht="14.5">
      <c r="A66" s="69"/>
      <c r="B66" s="256" t="str">
        <f>IF(ISERROR(VLOOKUP(L66,$M$6:$V$612,7,0)),"",(VLOOKUP(L66,$M$6:$V672,7,0)))</f>
        <v/>
      </c>
      <c r="C66" s="140" t="str">
        <f t="shared" si="8"/>
        <v/>
      </c>
      <c r="D66" s="141" t="str">
        <f t="shared" si="9"/>
        <v/>
      </c>
      <c r="E66" s="140" t="str">
        <f t="shared" si="10"/>
        <v/>
      </c>
      <c r="F66" s="141" t="str">
        <f t="shared" si="11"/>
        <v/>
      </c>
      <c r="G66" s="142" t="str">
        <f t="shared" si="12"/>
        <v/>
      </c>
      <c r="H66" s="143" t="str">
        <f t="shared" si="13"/>
        <v/>
      </c>
      <c r="I66" s="144" t="str">
        <f t="shared" si="14"/>
        <v/>
      </c>
      <c r="J66" s="82"/>
      <c r="L66" s="36">
        <v>61</v>
      </c>
      <c r="M66" s="39">
        <f t="shared" si="7"/>
        <v>0</v>
      </c>
      <c r="O66" s="41"/>
      <c r="P66" s="2">
        <f>'Straight Connection'!H45</f>
        <v>0</v>
      </c>
      <c r="Q66" s="92"/>
      <c r="R66" s="92"/>
      <c r="S66" s="2">
        <f>'Straight Connection'!D45</f>
        <v>0</v>
      </c>
      <c r="T66" s="2">
        <f>'Straight Connection'!E45</f>
        <v>0</v>
      </c>
      <c r="U66">
        <f>'Straight Connection'!F45</f>
        <v>0</v>
      </c>
      <c r="V66" s="2">
        <f>'Straight Connection'!G45</f>
        <v>0</v>
      </c>
    </row>
    <row r="67" spans="1:22" ht="14.5">
      <c r="A67" s="69"/>
      <c r="B67" s="256" t="str">
        <f>IF(ISERROR(VLOOKUP(L67,$M$6:$V$612,7,0)),"",(VLOOKUP(L67,$M$6:$V673,7,0)))</f>
        <v/>
      </c>
      <c r="C67" s="140" t="str">
        <f t="shared" si="8"/>
        <v/>
      </c>
      <c r="D67" s="141" t="str">
        <f t="shared" si="9"/>
        <v/>
      </c>
      <c r="E67" s="140" t="str">
        <f t="shared" si="10"/>
        <v/>
      </c>
      <c r="F67" s="141" t="str">
        <f t="shared" si="11"/>
        <v/>
      </c>
      <c r="G67" s="142" t="str">
        <f t="shared" si="12"/>
        <v/>
      </c>
      <c r="H67" s="143" t="str">
        <f t="shared" si="13"/>
        <v/>
      </c>
      <c r="I67" s="144" t="str">
        <f t="shared" si="14"/>
        <v/>
      </c>
      <c r="J67" s="82"/>
      <c r="L67" s="36">
        <v>62</v>
      </c>
      <c r="M67" s="39">
        <f t="shared" si="7"/>
        <v>0</v>
      </c>
      <c r="N67" s="40" t="str">
        <f>'Straight Connection'!$C$45</f>
        <v>Equal  Tee - PM &amp; Large Series</v>
      </c>
      <c r="O67" s="41"/>
      <c r="P67" s="39">
        <f>'Straight Connection'!H46</f>
        <v>0</v>
      </c>
      <c r="Q67" s="90">
        <f>'Straight Connection'!I46</f>
        <v>119.28</v>
      </c>
      <c r="R67" s="90">
        <f>'Straight Connection'!K46</f>
        <v>0</v>
      </c>
      <c r="S67" s="39">
        <f>'Straight Connection'!D46</f>
        <v>2811600590</v>
      </c>
      <c r="T67" s="39" t="str">
        <f>'Straight Connection'!E46</f>
        <v>63 / 2½"</v>
      </c>
      <c r="U67" s="40">
        <f>'Straight Connection'!F46</f>
        <v>0</v>
      </c>
      <c r="V67" s="39">
        <f>'Straight Connection'!G46</f>
        <v>1</v>
      </c>
    </row>
    <row r="68" spans="1:22" ht="14.5">
      <c r="A68" s="69"/>
      <c r="B68" s="256" t="str">
        <f>IF(ISERROR(VLOOKUP(L68,$M$6:$V$612,7,0)),"",(VLOOKUP(L68,$M$6:$V674,7,0)))</f>
        <v/>
      </c>
      <c r="C68" s="140" t="str">
        <f t="shared" si="8"/>
        <v/>
      </c>
      <c r="D68" s="141" t="str">
        <f t="shared" si="9"/>
        <v/>
      </c>
      <c r="E68" s="140" t="str">
        <f t="shared" si="10"/>
        <v/>
      </c>
      <c r="F68" s="141" t="str">
        <f t="shared" si="11"/>
        <v/>
      </c>
      <c r="G68" s="142" t="str">
        <f t="shared" si="12"/>
        <v/>
      </c>
      <c r="H68" s="143" t="str">
        <f t="shared" si="13"/>
        <v/>
      </c>
      <c r="I68" s="144" t="str">
        <f t="shared" si="14"/>
        <v/>
      </c>
      <c r="J68" s="82"/>
      <c r="L68" s="36">
        <v>63</v>
      </c>
      <c r="M68" s="39">
        <f t="shared" si="7"/>
        <v>0</v>
      </c>
      <c r="N68" s="40" t="str">
        <f>'Straight Connection'!$C$45</f>
        <v>Equal  Tee - PM &amp; Large Series</v>
      </c>
      <c r="O68" s="41"/>
      <c r="P68" s="39">
        <f>'Straight Connection'!H47</f>
        <v>0</v>
      </c>
      <c r="Q68" s="90">
        <f>'Straight Connection'!I47</f>
        <v>174.02</v>
      </c>
      <c r="R68" s="90">
        <f>'Straight Connection'!K47</f>
        <v>0</v>
      </c>
      <c r="S68" s="39">
        <f>'Straight Connection'!D47</f>
        <v>2811700590</v>
      </c>
      <c r="T68" s="39" t="str">
        <f>'Straight Connection'!E47</f>
        <v>80 / 3"</v>
      </c>
      <c r="U68" s="40">
        <f>'Straight Connection'!F47</f>
        <v>0</v>
      </c>
      <c r="V68" s="39">
        <f>'Straight Connection'!G47</f>
        <v>1</v>
      </c>
    </row>
    <row r="69" spans="1:22" ht="14.5">
      <c r="A69" s="69"/>
      <c r="B69" s="256" t="str">
        <f>IF(ISERROR(VLOOKUP(L69,$M$6:$V$612,7,0)),"",(VLOOKUP(L69,$M$6:$V675,7,0)))</f>
        <v/>
      </c>
      <c r="C69" s="140" t="str">
        <f t="shared" si="8"/>
        <v/>
      </c>
      <c r="D69" s="141" t="str">
        <f t="shared" si="9"/>
        <v/>
      </c>
      <c r="E69" s="140" t="str">
        <f t="shared" si="10"/>
        <v/>
      </c>
      <c r="F69" s="141" t="str">
        <f t="shared" si="11"/>
        <v/>
      </c>
      <c r="G69" s="142" t="str">
        <f t="shared" si="12"/>
        <v/>
      </c>
      <c r="H69" s="143" t="str">
        <f t="shared" si="13"/>
        <v/>
      </c>
      <c r="I69" s="144" t="str">
        <f t="shared" si="14"/>
        <v/>
      </c>
      <c r="J69" s="82"/>
      <c r="L69" s="36">
        <v>64</v>
      </c>
      <c r="M69" s="39">
        <f t="shared" si="7"/>
        <v>0</v>
      </c>
      <c r="N69" s="40" t="str">
        <f>'Straight Connection'!$C$45</f>
        <v>Equal  Tee - PM &amp; Large Series</v>
      </c>
      <c r="O69" s="41"/>
      <c r="P69" s="39">
        <f>'Straight Connection'!H48</f>
        <v>0</v>
      </c>
      <c r="Q69" s="90">
        <f>'Straight Connection'!I48</f>
        <v>143.33000000000001</v>
      </c>
      <c r="R69" s="90">
        <f>'Straight Connection'!K48</f>
        <v>0</v>
      </c>
      <c r="S69" s="39">
        <f>'Straight Connection'!D48</f>
        <v>2810800500</v>
      </c>
      <c r="T69" s="39" t="str">
        <f>'Straight Connection'!E48</f>
        <v>100 / 4"</v>
      </c>
      <c r="U69" s="40" t="str">
        <f>'Straight Connection'!F48</f>
        <v>Requires 2 Equal Unions</v>
      </c>
      <c r="V69" s="39">
        <f>'Straight Connection'!G48</f>
        <v>1</v>
      </c>
    </row>
    <row r="70" spans="1:22" ht="14.5">
      <c r="A70" s="69"/>
      <c r="B70" s="256" t="str">
        <f>IF(ISERROR(VLOOKUP(L70,$M$6:$V$612,7,0)),"",(VLOOKUP(L70,$M$6:$V676,7,0)))</f>
        <v/>
      </c>
      <c r="C70" s="140" t="str">
        <f t="shared" ref="C70:C101" si="15">IF(ISERROR(VLOOKUP(L70,$M$6:$V$612,2,0)),"",(VLOOKUP(L70,$M$6:$V$612,2,0)))</f>
        <v/>
      </c>
      <c r="D70" s="141" t="str">
        <f t="shared" ref="D70:D101" si="16">IF(ISERROR(VLOOKUP(L70,$M$6:$V$612,8,0)),"",(VLOOKUP(L70,$M$6:$V$612,8,0)))</f>
        <v/>
      </c>
      <c r="E70" s="140" t="str">
        <f t="shared" ref="E70:E101" si="17">IF(ISERROR(VLOOKUP(L70,$M$6:$V$612,9,FALSE)),"",(VLOOKUP(L70,$M$6:$V$612,9,0)))</f>
        <v/>
      </c>
      <c r="F70" s="141" t="str">
        <f t="shared" ref="F70:F101" si="18">IF(ISERROR(VLOOKUP(L70,$M$6:$V$612,10,0)),"",(VLOOKUP(L70,$M$6:$V$612,10,0)))</f>
        <v/>
      </c>
      <c r="G70" s="142" t="str">
        <f t="shared" ref="G70:G101" si="19">IF(ISERROR(VLOOKUP(L70,$M$6:$V$612,5,0)),"",(VLOOKUP(L70,$M$6:$V$612,5,0)))</f>
        <v/>
      </c>
      <c r="H70" s="143" t="str">
        <f t="shared" ref="H70:H101" si="20">IF(ISERROR(VLOOKUP(L70,$M$6:$V$612,4,0)),"",(VLOOKUP(L70,$M$6:$V$612,4,0)))</f>
        <v/>
      </c>
      <c r="I70" s="144" t="str">
        <f t="shared" ref="I70:I101" si="21">IF(ISERROR(VLOOKUP(L70,$M$6:$V$612,6,0)),"",(VLOOKUP(L70,$M$6:$V$612,6,0)))</f>
        <v/>
      </c>
      <c r="J70" s="82"/>
      <c r="L70" s="2">
        <v>65</v>
      </c>
      <c r="M70" s="39">
        <f t="shared" si="7"/>
        <v>0</v>
      </c>
      <c r="N70" s="40" t="str">
        <f>'Straight Connection'!$C$45</f>
        <v>Equal  Tee - PM &amp; Large Series</v>
      </c>
      <c r="O70" s="41"/>
      <c r="P70" s="39">
        <f>'Straight Connection'!H49</f>
        <v>0</v>
      </c>
      <c r="Q70" s="90">
        <f>'Straight Connection'!I49</f>
        <v>259.23</v>
      </c>
      <c r="R70" s="90">
        <f>'Straight Connection'!K49</f>
        <v>0</v>
      </c>
      <c r="S70" s="39">
        <f>'Straight Connection'!D49</f>
        <v>2810900500</v>
      </c>
      <c r="T70" s="39" t="str">
        <f>'Straight Connection'!E49</f>
        <v>158 / 6"</v>
      </c>
      <c r="U70" s="40" t="str">
        <f>'Straight Connection'!F49</f>
        <v>Requires 2 Equal Unions</v>
      </c>
      <c r="V70" s="39">
        <f>'Straight Connection'!G49</f>
        <v>1</v>
      </c>
    </row>
    <row r="71" spans="1:22" ht="14.5">
      <c r="A71" s="69"/>
      <c r="B71" s="256" t="str">
        <f>IF(ISERROR(VLOOKUP(L71,$M$6:$V$612,7,0)),"",(VLOOKUP(L71,$M$6:$V677,7,0)))</f>
        <v/>
      </c>
      <c r="C71" s="140" t="str">
        <f t="shared" si="15"/>
        <v/>
      </c>
      <c r="D71" s="141" t="str">
        <f t="shared" si="16"/>
        <v/>
      </c>
      <c r="E71" s="140" t="str">
        <f t="shared" si="17"/>
        <v/>
      </c>
      <c r="F71" s="141" t="str">
        <f t="shared" si="18"/>
        <v/>
      </c>
      <c r="G71" s="142" t="str">
        <f t="shared" si="19"/>
        <v/>
      </c>
      <c r="H71" s="143" t="str">
        <f t="shared" si="20"/>
        <v/>
      </c>
      <c r="I71" s="144" t="str">
        <f t="shared" si="21"/>
        <v/>
      </c>
      <c r="J71" s="82"/>
      <c r="L71" s="36">
        <v>66</v>
      </c>
      <c r="M71" s="39">
        <f t="shared" si="7"/>
        <v>0</v>
      </c>
      <c r="O71" s="41"/>
      <c r="P71" s="2">
        <f>'Straight Connection'!H50</f>
        <v>0</v>
      </c>
      <c r="Q71" s="92"/>
      <c r="R71" s="92"/>
      <c r="S71" s="2">
        <f>'Straight Connection'!D50</f>
        <v>0</v>
      </c>
      <c r="T71" s="2">
        <f>'Straight Connection'!E50</f>
        <v>0</v>
      </c>
      <c r="U71">
        <f>'Straight Connection'!F50</f>
        <v>0</v>
      </c>
      <c r="V71" s="2">
        <f>'Straight Connection'!G50</f>
        <v>0</v>
      </c>
    </row>
    <row r="72" spans="1:22" ht="14.5">
      <c r="A72" s="69"/>
      <c r="B72" s="256" t="str">
        <f>IF(ISERROR(VLOOKUP(L72,$M$6:$V$612,7,0)),"",(VLOOKUP(L72,$M$6:$V678,7,0)))</f>
        <v/>
      </c>
      <c r="C72" s="140" t="str">
        <f t="shared" si="15"/>
        <v/>
      </c>
      <c r="D72" s="141" t="str">
        <f t="shared" si="16"/>
        <v/>
      </c>
      <c r="E72" s="140" t="str">
        <f t="shared" si="17"/>
        <v/>
      </c>
      <c r="F72" s="141" t="str">
        <f t="shared" si="18"/>
        <v/>
      </c>
      <c r="G72" s="142" t="str">
        <f t="shared" si="19"/>
        <v/>
      </c>
      <c r="H72" s="143" t="str">
        <f t="shared" si="20"/>
        <v/>
      </c>
      <c r="I72" s="144" t="str">
        <f t="shared" si="21"/>
        <v/>
      </c>
      <c r="J72" s="82"/>
      <c r="L72" s="36">
        <v>67</v>
      </c>
      <c r="M72" s="39">
        <f t="shared" ref="M72:M139" si="22">IF(P72&gt;0,M71+1,M71)</f>
        <v>0</v>
      </c>
      <c r="N72" s="40" t="str">
        <f>'Straight Connection'!$B$50</f>
        <v>End Cap</v>
      </c>
      <c r="O72" s="41"/>
      <c r="P72" s="39">
        <f>'Straight Connection'!H51</f>
        <v>0</v>
      </c>
      <c r="Q72" s="90">
        <f>'Straight Connection'!I51</f>
        <v>21.4</v>
      </c>
      <c r="R72" s="90">
        <f>'Straight Connection'!K51</f>
        <v>0</v>
      </c>
      <c r="S72" s="39">
        <f>'Straight Connection'!D51</f>
        <v>2811100680</v>
      </c>
      <c r="T72" s="39" t="str">
        <f>'Straight Connection'!E51</f>
        <v>20 / ¾"</v>
      </c>
      <c r="U72" s="40">
        <f>'Straight Connection'!F51</f>
        <v>0</v>
      </c>
      <c r="V72" s="39">
        <f>'Straight Connection'!G51</f>
        <v>1</v>
      </c>
    </row>
    <row r="73" spans="1:22" ht="14.5">
      <c r="A73" s="69"/>
      <c r="B73" s="256" t="str">
        <f>IF(ISERROR(VLOOKUP(L73,$M$6:$V$612,7,0)),"",(VLOOKUP(L73,$M$6:$V679,7,0)))</f>
        <v/>
      </c>
      <c r="C73" s="140" t="str">
        <f t="shared" si="15"/>
        <v/>
      </c>
      <c r="D73" s="141" t="str">
        <f t="shared" si="16"/>
        <v/>
      </c>
      <c r="E73" s="140" t="str">
        <f t="shared" si="17"/>
        <v/>
      </c>
      <c r="F73" s="141" t="str">
        <f t="shared" si="18"/>
        <v/>
      </c>
      <c r="G73" s="142" t="str">
        <f t="shared" si="19"/>
        <v/>
      </c>
      <c r="H73" s="143" t="str">
        <f t="shared" si="20"/>
        <v/>
      </c>
      <c r="I73" s="144" t="str">
        <f t="shared" si="21"/>
        <v/>
      </c>
      <c r="J73" s="82"/>
      <c r="L73" s="36">
        <v>68</v>
      </c>
      <c r="M73" s="39">
        <f t="shared" si="22"/>
        <v>0</v>
      </c>
      <c r="N73" s="40" t="str">
        <f>'Straight Connection'!$B$50</f>
        <v>End Cap</v>
      </c>
      <c r="O73" s="41"/>
      <c r="P73" s="39">
        <f>'Straight Connection'!H52</f>
        <v>0</v>
      </c>
      <c r="Q73" s="90">
        <f>'Straight Connection'!I52</f>
        <v>21.47</v>
      </c>
      <c r="R73" s="90">
        <f>'Straight Connection'!K52</f>
        <v>0</v>
      </c>
      <c r="S73" s="39">
        <f>'Straight Connection'!D52</f>
        <v>2811200680</v>
      </c>
      <c r="T73" s="39" t="str">
        <f>'Straight Connection'!E52</f>
        <v>25 / 1"</v>
      </c>
      <c r="U73" s="40">
        <f>'Straight Connection'!F52</f>
        <v>0</v>
      </c>
      <c r="V73" s="39">
        <f>'Straight Connection'!G52</f>
        <v>1</v>
      </c>
    </row>
    <row r="74" spans="1:22" ht="14.5">
      <c r="A74" s="69"/>
      <c r="B74" s="256" t="str">
        <f>IF(ISERROR(VLOOKUP(L74,$M$6:$V$612,7,0)),"",(VLOOKUP(L74,$M$6:$V680,7,0)))</f>
        <v/>
      </c>
      <c r="C74" s="140" t="str">
        <f t="shared" si="15"/>
        <v/>
      </c>
      <c r="D74" s="141" t="str">
        <f t="shared" si="16"/>
        <v/>
      </c>
      <c r="E74" s="140" t="str">
        <f t="shared" si="17"/>
        <v/>
      </c>
      <c r="F74" s="141" t="str">
        <f t="shared" si="18"/>
        <v/>
      </c>
      <c r="G74" s="142" t="str">
        <f t="shared" si="19"/>
        <v/>
      </c>
      <c r="H74" s="143" t="str">
        <f t="shared" si="20"/>
        <v/>
      </c>
      <c r="I74" s="144" t="str">
        <f t="shared" si="21"/>
        <v/>
      </c>
      <c r="J74" s="82"/>
      <c r="L74" s="36">
        <v>69</v>
      </c>
      <c r="M74" s="39">
        <f t="shared" si="22"/>
        <v>0</v>
      </c>
      <c r="N74" s="40" t="str">
        <f>'Straight Connection'!$B$50</f>
        <v>End Cap</v>
      </c>
      <c r="O74" s="41"/>
      <c r="P74" s="39">
        <f>'Straight Connection'!H53</f>
        <v>0</v>
      </c>
      <c r="Q74" s="90">
        <f>'Straight Connection'!I53</f>
        <v>35.03</v>
      </c>
      <c r="R74" s="90">
        <f>'Straight Connection'!K53</f>
        <v>0</v>
      </c>
      <c r="S74" s="39">
        <f>'Straight Connection'!D53</f>
        <v>2811400680</v>
      </c>
      <c r="T74" s="39" t="str">
        <f>'Straight Connection'!E53</f>
        <v>40 / 1½"</v>
      </c>
      <c r="U74" s="40">
        <f>'Straight Connection'!F53</f>
        <v>0</v>
      </c>
      <c r="V74" s="39">
        <f>'Straight Connection'!G53</f>
        <v>1</v>
      </c>
    </row>
    <row r="75" spans="1:22" ht="14.5">
      <c r="A75" s="69"/>
      <c r="B75" s="256" t="str">
        <f>IF(ISERROR(VLOOKUP(L75,$M$6:$V$612,7,0)),"",(VLOOKUP(L75,$M$6:$V681,7,0)))</f>
        <v/>
      </c>
      <c r="C75" s="140" t="str">
        <f t="shared" si="15"/>
        <v/>
      </c>
      <c r="D75" s="141" t="str">
        <f t="shared" si="16"/>
        <v/>
      </c>
      <c r="E75" s="140" t="str">
        <f t="shared" si="17"/>
        <v/>
      </c>
      <c r="F75" s="141" t="str">
        <f t="shared" si="18"/>
        <v/>
      </c>
      <c r="G75" s="142" t="str">
        <f t="shared" si="19"/>
        <v/>
      </c>
      <c r="H75" s="143" t="str">
        <f t="shared" si="20"/>
        <v/>
      </c>
      <c r="I75" s="144" t="str">
        <f t="shared" si="21"/>
        <v/>
      </c>
      <c r="J75" s="82"/>
      <c r="L75" s="36">
        <v>70</v>
      </c>
      <c r="M75" s="39">
        <f t="shared" si="22"/>
        <v>0</v>
      </c>
      <c r="N75" s="40" t="str">
        <f>'Straight Connection'!$B$50</f>
        <v>End Cap</v>
      </c>
      <c r="O75" s="41"/>
      <c r="P75" s="39">
        <f>'Straight Connection'!H54</f>
        <v>0</v>
      </c>
      <c r="Q75" s="90">
        <f>'Straight Connection'!I54</f>
        <v>46.34</v>
      </c>
      <c r="R75" s="90">
        <f>'Straight Connection'!K54</f>
        <v>0</v>
      </c>
      <c r="S75" s="39">
        <f>'Straight Connection'!D54</f>
        <v>2811500680</v>
      </c>
      <c r="T75" s="39" t="str">
        <f>'Straight Connection'!E54</f>
        <v>50 / 2"</v>
      </c>
      <c r="U75" s="40">
        <f>'Straight Connection'!F54</f>
        <v>0</v>
      </c>
      <c r="V75" s="39">
        <f>'Straight Connection'!G54</f>
        <v>1</v>
      </c>
    </row>
    <row r="76" spans="1:22" ht="14.5">
      <c r="A76" s="69"/>
      <c r="B76" s="256" t="str">
        <f>IF(ISERROR(VLOOKUP(L76,$M$6:$V$612,7,0)),"",(VLOOKUP(L76,$M$6:$V682,7,0)))</f>
        <v/>
      </c>
      <c r="C76" s="140" t="str">
        <f t="shared" si="15"/>
        <v/>
      </c>
      <c r="D76" s="141" t="str">
        <f t="shared" si="16"/>
        <v/>
      </c>
      <c r="E76" s="140" t="str">
        <f t="shared" si="17"/>
        <v/>
      </c>
      <c r="F76" s="141" t="str">
        <f t="shared" si="18"/>
        <v/>
      </c>
      <c r="G76" s="142" t="str">
        <f t="shared" si="19"/>
        <v/>
      </c>
      <c r="H76" s="143" t="str">
        <f t="shared" si="20"/>
        <v/>
      </c>
      <c r="I76" s="144" t="str">
        <f t="shared" si="21"/>
        <v/>
      </c>
      <c r="J76" s="82"/>
      <c r="L76" s="36">
        <v>71</v>
      </c>
      <c r="M76" s="39">
        <f t="shared" si="22"/>
        <v>0</v>
      </c>
      <c r="O76" s="41"/>
      <c r="P76" s="2">
        <f>'Straight Connection'!H55</f>
        <v>0</v>
      </c>
      <c r="Q76" s="92"/>
      <c r="R76" s="92"/>
      <c r="S76" s="2">
        <f>'Straight Connection'!D55</f>
        <v>0</v>
      </c>
      <c r="T76" s="2">
        <f>'Straight Connection'!E55</f>
        <v>0</v>
      </c>
      <c r="U76">
        <f>'Straight Connection'!F55</f>
        <v>0</v>
      </c>
      <c r="V76" s="2">
        <f>'Straight Connection'!G55</f>
        <v>0</v>
      </c>
    </row>
    <row r="77" spans="1:22" ht="14.5">
      <c r="A77" s="69"/>
      <c r="B77" s="256" t="str">
        <f>IF(ISERROR(VLOOKUP(L77,$M$6:$V$612,7,0)),"",(VLOOKUP(L77,$M$6:$V683,7,0)))</f>
        <v/>
      </c>
      <c r="C77" s="140" t="str">
        <f t="shared" si="15"/>
        <v/>
      </c>
      <c r="D77" s="141" t="str">
        <f t="shared" si="16"/>
        <v/>
      </c>
      <c r="E77" s="140" t="str">
        <f t="shared" si="17"/>
        <v/>
      </c>
      <c r="F77" s="141" t="str">
        <f t="shared" si="18"/>
        <v/>
      </c>
      <c r="G77" s="142" t="str">
        <f t="shared" si="19"/>
        <v/>
      </c>
      <c r="H77" s="143" t="str">
        <f t="shared" si="20"/>
        <v/>
      </c>
      <c r="I77" s="144" t="str">
        <f t="shared" si="21"/>
        <v/>
      </c>
      <c r="J77" s="82"/>
      <c r="L77" s="36">
        <v>72</v>
      </c>
      <c r="M77" s="39">
        <f t="shared" si="22"/>
        <v>0</v>
      </c>
      <c r="N77" s="40" t="str">
        <f>'Straight Connection'!$B$50</f>
        <v>End Cap</v>
      </c>
      <c r="O77" s="41"/>
      <c r="P77" s="39">
        <f>'Straight Connection'!H56</f>
        <v>0</v>
      </c>
      <c r="Q77" s="90">
        <f>'Straight Connection'!I56</f>
        <v>59.16</v>
      </c>
      <c r="R77" s="90">
        <f>'Straight Connection'!K56</f>
        <v>0</v>
      </c>
      <c r="S77" s="39">
        <f>'Straight Connection'!D56</f>
        <v>2811600690</v>
      </c>
      <c r="T77" s="39" t="str">
        <f>'Straight Connection'!E56</f>
        <v>63 / 2½"</v>
      </c>
      <c r="U77" s="40">
        <f>'Straight Connection'!F56</f>
        <v>0</v>
      </c>
      <c r="V77" s="39">
        <f>'Straight Connection'!G56</f>
        <v>1</v>
      </c>
    </row>
    <row r="78" spans="1:22" ht="14.5">
      <c r="A78" s="69"/>
      <c r="B78" s="256" t="str">
        <f>IF(ISERROR(VLOOKUP(L78,$M$6:$V$612,7,0)),"",(VLOOKUP(L78,$M$6:$V684,7,0)))</f>
        <v/>
      </c>
      <c r="C78" s="140" t="str">
        <f t="shared" si="15"/>
        <v/>
      </c>
      <c r="D78" s="141" t="str">
        <f t="shared" si="16"/>
        <v/>
      </c>
      <c r="E78" s="140" t="str">
        <f t="shared" si="17"/>
        <v/>
      </c>
      <c r="F78" s="141" t="str">
        <f t="shared" si="18"/>
        <v/>
      </c>
      <c r="G78" s="142" t="str">
        <f t="shared" si="19"/>
        <v/>
      </c>
      <c r="H78" s="143" t="str">
        <f t="shared" si="20"/>
        <v/>
      </c>
      <c r="I78" s="144" t="str">
        <f t="shared" si="21"/>
        <v/>
      </c>
      <c r="J78" s="82"/>
      <c r="L78" s="2">
        <v>73</v>
      </c>
      <c r="M78" s="39">
        <f t="shared" si="22"/>
        <v>0</v>
      </c>
      <c r="N78" s="40" t="str">
        <f>'Straight Connection'!$B$50</f>
        <v>End Cap</v>
      </c>
      <c r="O78" s="41"/>
      <c r="P78" s="39">
        <f>'Straight Connection'!H57</f>
        <v>0</v>
      </c>
      <c r="Q78" s="90">
        <f>'Straight Connection'!I57</f>
        <v>103.98</v>
      </c>
      <c r="R78" s="90">
        <f>'Straight Connection'!K57</f>
        <v>0</v>
      </c>
      <c r="S78" s="39">
        <f>'Straight Connection'!D57</f>
        <v>2811700690</v>
      </c>
      <c r="T78" s="39" t="str">
        <f>'Straight Connection'!E57</f>
        <v>80 / 3"</v>
      </c>
      <c r="U78" s="40">
        <f>'Straight Connection'!F57</f>
        <v>0</v>
      </c>
      <c r="V78" s="39">
        <f>'Straight Connection'!G57</f>
        <v>1</v>
      </c>
    </row>
    <row r="79" spans="1:22" ht="14.5">
      <c r="A79" s="69"/>
      <c r="B79" s="256" t="str">
        <f>IF(ISERROR(VLOOKUP(L79,$M$6:$V$612,7,0)),"",(VLOOKUP(L79,$M$6:$V685,7,0)))</f>
        <v/>
      </c>
      <c r="C79" s="140" t="str">
        <f t="shared" si="15"/>
        <v/>
      </c>
      <c r="D79" s="141" t="str">
        <f t="shared" si="16"/>
        <v/>
      </c>
      <c r="E79" s="140" t="str">
        <f t="shared" si="17"/>
        <v/>
      </c>
      <c r="F79" s="141" t="str">
        <f t="shared" si="18"/>
        <v/>
      </c>
      <c r="G79" s="142" t="str">
        <f t="shared" si="19"/>
        <v/>
      </c>
      <c r="H79" s="143" t="str">
        <f t="shared" si="20"/>
        <v/>
      </c>
      <c r="I79" s="144" t="str">
        <f t="shared" si="21"/>
        <v/>
      </c>
      <c r="J79" s="82"/>
      <c r="L79" s="36">
        <v>74</v>
      </c>
      <c r="M79" s="39">
        <f t="shared" si="22"/>
        <v>0</v>
      </c>
      <c r="N79" s="40" t="str">
        <f>'Straight Connection'!$B$50</f>
        <v>End Cap</v>
      </c>
      <c r="O79" s="41"/>
      <c r="P79" s="39">
        <f>'Straight Connection'!H58</f>
        <v>0</v>
      </c>
      <c r="Q79" s="90">
        <f>'Straight Connection'!I58</f>
        <v>84.49</v>
      </c>
      <c r="R79" s="90">
        <f>'Straight Connection'!K58</f>
        <v>0</v>
      </c>
      <c r="S79" s="39">
        <f>'Straight Connection'!D58</f>
        <v>2810981600</v>
      </c>
      <c r="T79" s="39" t="str">
        <f>'Straight Connection'!E58</f>
        <v>100 / 4" &amp; 158 / 6"</v>
      </c>
      <c r="U79" s="40" t="str">
        <f>'Straight Connection'!F58</f>
        <v>Same End Cap for 4" &amp; 6" pipe</v>
      </c>
      <c r="V79" s="39">
        <f>'Straight Connection'!G58</f>
        <v>1</v>
      </c>
    </row>
    <row r="80" spans="1:22" ht="14.5">
      <c r="A80" s="69"/>
      <c r="B80" s="256" t="str">
        <f>IF(ISERROR(VLOOKUP(L80,$M$6:$V$612,7,0)),"",(VLOOKUP(L80,$M$6:$V686,7,0)))</f>
        <v/>
      </c>
      <c r="C80" s="140" t="str">
        <f t="shared" si="15"/>
        <v/>
      </c>
      <c r="D80" s="141" t="str">
        <f t="shared" si="16"/>
        <v/>
      </c>
      <c r="E80" s="140" t="str">
        <f t="shared" si="17"/>
        <v/>
      </c>
      <c r="F80" s="141" t="str">
        <f t="shared" si="18"/>
        <v/>
      </c>
      <c r="G80" s="142" t="str">
        <f t="shared" si="19"/>
        <v/>
      </c>
      <c r="H80" s="143" t="str">
        <f t="shared" si="20"/>
        <v/>
      </c>
      <c r="I80" s="144" t="str">
        <f t="shared" si="21"/>
        <v/>
      </c>
      <c r="J80" s="82"/>
      <c r="L80" s="36">
        <v>75</v>
      </c>
      <c r="M80" s="39">
        <f t="shared" si="22"/>
        <v>0</v>
      </c>
      <c r="N80" s="41"/>
      <c r="O80" s="41"/>
      <c r="P80" s="86">
        <f>'Straight Connection'!H61</f>
        <v>0</v>
      </c>
      <c r="Q80" s="93">
        <f>'Straight Connection'!I61</f>
        <v>0</v>
      </c>
      <c r="R80" s="93">
        <f>'Straight Connection'!K61</f>
        <v>0</v>
      </c>
      <c r="S80" s="86">
        <f>'Straight Connection'!D61</f>
        <v>0</v>
      </c>
      <c r="T80" s="86">
        <f>'Straight Connection'!E61</f>
        <v>0</v>
      </c>
      <c r="U80" s="41">
        <f>'Straight Connection'!F44</f>
        <v>0</v>
      </c>
      <c r="V80" s="86">
        <f>'Straight Connection'!G61</f>
        <v>0</v>
      </c>
    </row>
    <row r="81" spans="1:22" ht="14.5">
      <c r="A81" s="69"/>
      <c r="B81" s="256" t="str">
        <f>IF(ISERROR(VLOOKUP(L81,$M$6:$V$612,7,0)),"",(VLOOKUP(L81,$M$6:$V687,7,0)))</f>
        <v/>
      </c>
      <c r="C81" s="140" t="str">
        <f t="shared" si="15"/>
        <v/>
      </c>
      <c r="D81" s="141" t="str">
        <f t="shared" si="16"/>
        <v/>
      </c>
      <c r="E81" s="140" t="str">
        <f t="shared" si="17"/>
        <v/>
      </c>
      <c r="F81" s="141" t="str">
        <f t="shared" si="18"/>
        <v/>
      </c>
      <c r="G81" s="142" t="str">
        <f t="shared" si="19"/>
        <v/>
      </c>
      <c r="H81" s="143" t="str">
        <f t="shared" si="20"/>
        <v/>
      </c>
      <c r="I81" s="144" t="str">
        <f t="shared" si="21"/>
        <v/>
      </c>
      <c r="J81" s="82"/>
      <c r="L81" s="36">
        <v>76</v>
      </c>
      <c r="M81" s="39">
        <f t="shared" si="22"/>
        <v>0</v>
      </c>
      <c r="N81" s="5" t="s">
        <v>288</v>
      </c>
      <c r="O81" s="41"/>
      <c r="P81" s="39">
        <f>'Reducing Fittings'!H4</f>
        <v>0</v>
      </c>
      <c r="Q81" s="90">
        <f>'Reducing Fittings'!I4</f>
        <v>26.61</v>
      </c>
      <c r="R81" s="90">
        <f>'Reducing Fittings'!K4</f>
        <v>0</v>
      </c>
      <c r="S81" s="39">
        <f>'Reducing Fittings'!D4</f>
        <v>2811212180</v>
      </c>
      <c r="T81" s="39" t="str">
        <f>'Reducing Fittings'!E4</f>
        <v>25 / 1"</v>
      </c>
      <c r="U81" s="40" t="str">
        <f>'Reducing Fittings'!F4</f>
        <v>20 / ¾"</v>
      </c>
      <c r="V81" s="39">
        <v>1</v>
      </c>
    </row>
    <row r="82" spans="1:22" ht="14.5">
      <c r="A82" s="69"/>
      <c r="B82" s="256" t="str">
        <f>IF(ISERROR(VLOOKUP(L82,$M$6:$V$612,7,0)),"",(VLOOKUP(L82,$M$6:$V688,7,0)))</f>
        <v/>
      </c>
      <c r="C82" s="140" t="str">
        <f t="shared" si="15"/>
        <v/>
      </c>
      <c r="D82" s="141" t="str">
        <f t="shared" si="16"/>
        <v/>
      </c>
      <c r="E82" s="140" t="str">
        <f t="shared" si="17"/>
        <v/>
      </c>
      <c r="F82" s="141" t="str">
        <f t="shared" si="18"/>
        <v/>
      </c>
      <c r="G82" s="142" t="str">
        <f t="shared" si="19"/>
        <v/>
      </c>
      <c r="H82" s="143" t="str">
        <f t="shared" si="20"/>
        <v/>
      </c>
      <c r="I82" s="144" t="str">
        <f t="shared" si="21"/>
        <v/>
      </c>
      <c r="J82" s="82"/>
      <c r="L82" s="36">
        <v>77</v>
      </c>
      <c r="M82" s="39">
        <f t="shared" si="22"/>
        <v>0</v>
      </c>
      <c r="N82" s="5" t="s">
        <v>288</v>
      </c>
      <c r="O82" s="41"/>
      <c r="P82" s="39">
        <f>'Reducing Fittings'!H5</f>
        <v>0</v>
      </c>
      <c r="Q82" s="90">
        <f>'Reducing Fittings'!I5</f>
        <v>45.53</v>
      </c>
      <c r="R82" s="90">
        <f>'Reducing Fittings'!K5</f>
        <v>0</v>
      </c>
      <c r="S82" s="39">
        <f>'Reducing Fittings'!D5</f>
        <v>2811422180</v>
      </c>
      <c r="T82" s="39" t="str">
        <f>'Reducing Fittings'!E5</f>
        <v>40 / 1½"</v>
      </c>
      <c r="U82" s="40" t="str">
        <f>'Reducing Fittings'!F5</f>
        <v>25 / 1"</v>
      </c>
      <c r="V82" s="39">
        <v>1</v>
      </c>
    </row>
    <row r="83" spans="1:22" ht="14.5">
      <c r="A83" s="69"/>
      <c r="B83" s="256" t="str">
        <f>IF(ISERROR(VLOOKUP(L83,$M$6:$V$612,7,0)),"",(VLOOKUP(L83,$M$6:$V689,7,0)))</f>
        <v/>
      </c>
      <c r="C83" s="140" t="str">
        <f t="shared" si="15"/>
        <v/>
      </c>
      <c r="D83" s="141" t="str">
        <f t="shared" si="16"/>
        <v/>
      </c>
      <c r="E83" s="140" t="str">
        <f t="shared" si="17"/>
        <v/>
      </c>
      <c r="F83" s="141" t="str">
        <f t="shared" si="18"/>
        <v/>
      </c>
      <c r="G83" s="142" t="str">
        <f t="shared" si="19"/>
        <v/>
      </c>
      <c r="H83" s="143" t="str">
        <f t="shared" si="20"/>
        <v/>
      </c>
      <c r="I83" s="144" t="str">
        <f t="shared" si="21"/>
        <v/>
      </c>
      <c r="J83" s="82"/>
      <c r="L83" s="36">
        <v>78</v>
      </c>
      <c r="M83" s="39">
        <f t="shared" si="22"/>
        <v>0</v>
      </c>
      <c r="N83" s="5" t="s">
        <v>288</v>
      </c>
      <c r="O83" s="41"/>
      <c r="P83" s="39">
        <f>'Reducing Fittings'!H6</f>
        <v>0</v>
      </c>
      <c r="Q83" s="90">
        <f>'Reducing Fittings'!I6</f>
        <v>62.3</v>
      </c>
      <c r="R83" s="90">
        <f>'Reducing Fittings'!K6</f>
        <v>0</v>
      </c>
      <c r="S83" s="39">
        <f>'Reducing Fittings'!D6</f>
        <v>2811542180</v>
      </c>
      <c r="T83" s="39" t="str">
        <f>'Reducing Fittings'!E6</f>
        <v>50 / 2"</v>
      </c>
      <c r="U83" s="40" t="str">
        <f>'Reducing Fittings'!F6</f>
        <v>40 / 1½"</v>
      </c>
      <c r="V83" s="39">
        <v>1</v>
      </c>
    </row>
    <row r="84" spans="1:22" ht="14.5">
      <c r="A84" s="69"/>
      <c r="B84" s="256" t="str">
        <f>IF(ISERROR(VLOOKUP(L84,$M$6:$V$612,7,0)),"",(VLOOKUP(L84,$M$6:$V690,7,0)))</f>
        <v/>
      </c>
      <c r="C84" s="140" t="str">
        <f t="shared" si="15"/>
        <v/>
      </c>
      <c r="D84" s="141" t="str">
        <f t="shared" si="16"/>
        <v/>
      </c>
      <c r="E84" s="140" t="str">
        <f t="shared" si="17"/>
        <v/>
      </c>
      <c r="F84" s="141" t="str">
        <f t="shared" si="18"/>
        <v/>
      </c>
      <c r="G84" s="142" t="str">
        <f t="shared" si="19"/>
        <v/>
      </c>
      <c r="H84" s="143" t="str">
        <f t="shared" si="20"/>
        <v/>
      </c>
      <c r="I84" s="144" t="str">
        <f t="shared" si="21"/>
        <v/>
      </c>
      <c r="J84" s="82"/>
      <c r="L84" s="36">
        <v>79</v>
      </c>
      <c r="M84" s="39">
        <f t="shared" si="22"/>
        <v>0</v>
      </c>
      <c r="N84" s="9"/>
      <c r="O84" s="41"/>
      <c r="Q84" s="92"/>
      <c r="R84" s="92"/>
    </row>
    <row r="85" spans="1:22" ht="14.5">
      <c r="A85" s="69"/>
      <c r="B85" s="256" t="str">
        <f>IF(ISERROR(VLOOKUP(L85,$M$6:$V$612,7,0)),"",(VLOOKUP(L85,$M$6:$V691,7,0)))</f>
        <v/>
      </c>
      <c r="C85" s="140" t="str">
        <f t="shared" si="15"/>
        <v/>
      </c>
      <c r="D85" s="141" t="str">
        <f t="shared" si="16"/>
        <v/>
      </c>
      <c r="E85" s="140" t="str">
        <f t="shared" si="17"/>
        <v/>
      </c>
      <c r="F85" s="141" t="str">
        <f t="shared" si="18"/>
        <v/>
      </c>
      <c r="G85" s="142" t="str">
        <f t="shared" si="19"/>
        <v/>
      </c>
      <c r="H85" s="143" t="str">
        <f t="shared" si="20"/>
        <v/>
      </c>
      <c r="I85" s="144" t="str">
        <f t="shared" si="21"/>
        <v/>
      </c>
      <c r="J85" s="82"/>
      <c r="L85" s="36">
        <v>80</v>
      </c>
      <c r="M85" s="39">
        <f t="shared" si="22"/>
        <v>0</v>
      </c>
      <c r="N85" s="5" t="s">
        <v>287</v>
      </c>
      <c r="O85" s="41"/>
      <c r="P85" s="39">
        <f>'Reducing Fittings'!H8</f>
        <v>0</v>
      </c>
      <c r="Q85" s="90">
        <f>'Reducing Fittings'!I8</f>
        <v>134.09</v>
      </c>
      <c r="R85" s="90">
        <f>'Reducing Fittings'!K8</f>
        <v>0</v>
      </c>
      <c r="S85" s="39">
        <f>'Reducing Fittings'!D8</f>
        <v>2811652190</v>
      </c>
      <c r="T85" s="39" t="str">
        <f>'Reducing Fittings'!E8</f>
        <v>63 / 2½"</v>
      </c>
      <c r="U85" s="40" t="str">
        <f>'Reducing Fittings'!F8</f>
        <v>50 / 2"</v>
      </c>
      <c r="V85" s="39">
        <v>1</v>
      </c>
    </row>
    <row r="86" spans="1:22" ht="14.5">
      <c r="A86" s="69"/>
      <c r="B86" s="256" t="str">
        <f>IF(ISERROR(VLOOKUP(L86,$M$6:$V$612,7,0)),"",(VLOOKUP(L86,$M$6:$V692,7,0)))</f>
        <v/>
      </c>
      <c r="C86" s="140" t="str">
        <f t="shared" si="15"/>
        <v/>
      </c>
      <c r="D86" s="141" t="str">
        <f t="shared" si="16"/>
        <v/>
      </c>
      <c r="E86" s="140" t="str">
        <f t="shared" si="17"/>
        <v/>
      </c>
      <c r="F86" s="141" t="str">
        <f t="shared" si="18"/>
        <v/>
      </c>
      <c r="G86" s="142" t="str">
        <f t="shared" si="19"/>
        <v/>
      </c>
      <c r="H86" s="143" t="str">
        <f t="shared" si="20"/>
        <v/>
      </c>
      <c r="I86" s="144" t="str">
        <f t="shared" si="21"/>
        <v/>
      </c>
      <c r="J86" s="82"/>
      <c r="L86" s="2">
        <v>81</v>
      </c>
      <c r="M86" s="39">
        <f t="shared" si="22"/>
        <v>0</v>
      </c>
      <c r="N86" s="5" t="s">
        <v>287</v>
      </c>
      <c r="O86" s="41"/>
      <c r="P86" s="39">
        <f>'Reducing Fittings'!H9</f>
        <v>0</v>
      </c>
      <c r="Q86" s="90">
        <f>'Reducing Fittings'!I9</f>
        <v>170.2</v>
      </c>
      <c r="R86" s="90">
        <f>'Reducing Fittings'!K9</f>
        <v>0</v>
      </c>
      <c r="S86" s="39">
        <f>'Reducing Fittings'!D9</f>
        <v>2811762190</v>
      </c>
      <c r="T86" s="39" t="str">
        <f>'Reducing Fittings'!E9</f>
        <v>80 / 3"</v>
      </c>
      <c r="U86" s="40" t="str">
        <f>'Reducing Fittings'!F9</f>
        <v>63 / 2½"</v>
      </c>
      <c r="V86" s="39">
        <v>1</v>
      </c>
    </row>
    <row r="87" spans="1:22" ht="14.5">
      <c r="A87" s="69"/>
      <c r="B87" s="256" t="str">
        <f>IF(ISERROR(VLOOKUP(L87,$M$6:$V$612,7,0)),"",(VLOOKUP(L87,$M$6:$V693,7,0)))</f>
        <v/>
      </c>
      <c r="C87" s="140" t="str">
        <f t="shared" si="15"/>
        <v/>
      </c>
      <c r="D87" s="141" t="str">
        <f t="shared" si="16"/>
        <v/>
      </c>
      <c r="E87" s="140" t="str">
        <f t="shared" si="17"/>
        <v/>
      </c>
      <c r="F87" s="141" t="str">
        <f t="shared" si="18"/>
        <v/>
      </c>
      <c r="G87" s="142" t="str">
        <f t="shared" si="19"/>
        <v/>
      </c>
      <c r="H87" s="143" t="str">
        <f t="shared" si="20"/>
        <v/>
      </c>
      <c r="I87" s="144" t="str">
        <f t="shared" si="21"/>
        <v/>
      </c>
      <c r="J87" s="82"/>
      <c r="L87" s="36">
        <v>82</v>
      </c>
      <c r="M87" s="39">
        <f t="shared" si="22"/>
        <v>0</v>
      </c>
      <c r="N87" s="5" t="s">
        <v>287</v>
      </c>
      <c r="O87" s="41"/>
      <c r="P87" s="39">
        <f>'Reducing Fittings'!H10</f>
        <v>0</v>
      </c>
      <c r="Q87" s="90">
        <f>'Reducing Fittings'!I10</f>
        <v>144.83000000000001</v>
      </c>
      <c r="R87" s="90">
        <f>'Reducing Fittings'!K10</f>
        <v>0</v>
      </c>
      <c r="S87" s="39">
        <f>'Reducing Fittings'!D10</f>
        <v>2810872100</v>
      </c>
      <c r="T87" s="39" t="str">
        <f>'Reducing Fittings'!E10</f>
        <v>100 / 4"</v>
      </c>
      <c r="U87" s="40" t="str">
        <f>'Reducing Fittings'!F10</f>
        <v>80 / 3"</v>
      </c>
      <c r="V87" s="39">
        <v>1</v>
      </c>
    </row>
    <row r="88" spans="1:22" ht="14.5">
      <c r="A88" s="69"/>
      <c r="B88" s="256" t="str">
        <f>IF(ISERROR(VLOOKUP(L88,$M$6:$V$612,7,0)),"",(VLOOKUP(L88,$M$6:$V694,7,0)))</f>
        <v/>
      </c>
      <c r="C88" s="140" t="str">
        <f t="shared" si="15"/>
        <v/>
      </c>
      <c r="D88" s="141" t="str">
        <f t="shared" si="16"/>
        <v/>
      </c>
      <c r="E88" s="140" t="str">
        <f t="shared" si="17"/>
        <v/>
      </c>
      <c r="F88" s="141" t="str">
        <f t="shared" si="18"/>
        <v/>
      </c>
      <c r="G88" s="142" t="str">
        <f t="shared" si="19"/>
        <v/>
      </c>
      <c r="H88" s="143" t="str">
        <f t="shared" si="20"/>
        <v/>
      </c>
      <c r="I88" s="144" t="str">
        <f t="shared" si="21"/>
        <v/>
      </c>
      <c r="J88" s="82"/>
      <c r="L88" s="36">
        <v>83</v>
      </c>
      <c r="M88" s="39">
        <f t="shared" si="22"/>
        <v>0</v>
      </c>
      <c r="N88" s="5" t="s">
        <v>287</v>
      </c>
      <c r="O88" s="41"/>
      <c r="P88" s="39">
        <f>'Reducing Fittings'!H11</f>
        <v>0</v>
      </c>
      <c r="Q88" s="90">
        <f>'Reducing Fittings'!I11</f>
        <v>126.74</v>
      </c>
      <c r="R88" s="90">
        <f>'Reducing Fittings'!K11</f>
        <v>0</v>
      </c>
      <c r="S88" s="39">
        <f>'Reducing Fittings'!D11</f>
        <v>2810982100</v>
      </c>
      <c r="T88" s="39" t="str">
        <f>'Reducing Fittings'!E11</f>
        <v>158 / 6"</v>
      </c>
      <c r="U88" s="40" t="str">
        <f>'Reducing Fittings'!F11</f>
        <v>4 / 100"</v>
      </c>
      <c r="V88" s="39">
        <v>1</v>
      </c>
    </row>
    <row r="89" spans="1:22" ht="14.5">
      <c r="A89" s="69"/>
      <c r="B89" s="256" t="str">
        <f>IF(ISERROR(VLOOKUP(L89,$M$6:$V$612,7,0)),"",(VLOOKUP(L89,$M$6:$V695,7,0)))</f>
        <v/>
      </c>
      <c r="C89" s="140" t="str">
        <f t="shared" si="15"/>
        <v/>
      </c>
      <c r="D89" s="141" t="str">
        <f t="shared" si="16"/>
        <v/>
      </c>
      <c r="E89" s="140" t="str">
        <f t="shared" si="17"/>
        <v/>
      </c>
      <c r="F89" s="141" t="str">
        <f t="shared" si="18"/>
        <v/>
      </c>
      <c r="G89" s="142" t="str">
        <f t="shared" si="19"/>
        <v/>
      </c>
      <c r="H89" s="143" t="str">
        <f t="shared" si="20"/>
        <v/>
      </c>
      <c r="I89" s="144" t="str">
        <f t="shared" si="21"/>
        <v/>
      </c>
      <c r="J89" s="82"/>
      <c r="L89" s="36">
        <v>84</v>
      </c>
      <c r="M89" s="39">
        <f t="shared" si="22"/>
        <v>0</v>
      </c>
      <c r="O89" s="41"/>
      <c r="P89" s="87"/>
      <c r="Q89" s="92"/>
      <c r="R89" s="92"/>
      <c r="S89" s="2">
        <f>'Reducing Fittings'!D12</f>
        <v>0</v>
      </c>
      <c r="T89" s="2">
        <f>'Reducing Fittings'!E12</f>
        <v>0</v>
      </c>
      <c r="U89">
        <f>'Reducing Fittings'!F12</f>
        <v>0</v>
      </c>
    </row>
    <row r="90" spans="1:22" ht="14.5">
      <c r="A90" s="69"/>
      <c r="B90" s="256" t="str">
        <f>IF(ISERROR(VLOOKUP(L90,$M$6:$V$612,7,0)),"",(VLOOKUP(L90,$M$6:$V696,7,0)))</f>
        <v/>
      </c>
      <c r="C90" s="140" t="str">
        <f t="shared" si="15"/>
        <v/>
      </c>
      <c r="D90" s="141" t="str">
        <f t="shared" si="16"/>
        <v/>
      </c>
      <c r="E90" s="140" t="str">
        <f t="shared" si="17"/>
        <v/>
      </c>
      <c r="F90" s="141" t="str">
        <f t="shared" si="18"/>
        <v/>
      </c>
      <c r="G90" s="142" t="str">
        <f t="shared" si="19"/>
        <v/>
      </c>
      <c r="H90" s="143" t="str">
        <f t="shared" si="20"/>
        <v/>
      </c>
      <c r="I90" s="144" t="str">
        <f t="shared" si="21"/>
        <v/>
      </c>
      <c r="J90" s="82"/>
      <c r="L90" s="36">
        <v>85</v>
      </c>
      <c r="M90" s="39">
        <f t="shared" si="22"/>
        <v>0</v>
      </c>
      <c r="O90" s="41"/>
      <c r="P90" s="87">
        <f>'Reducing Fittings'!H13</f>
        <v>0</v>
      </c>
      <c r="Q90" s="92"/>
      <c r="R90" s="92"/>
      <c r="S90" s="2">
        <f>'Reducing Fittings'!D13</f>
        <v>0</v>
      </c>
      <c r="T90" s="2">
        <f>'Reducing Fittings'!E13</f>
        <v>0</v>
      </c>
      <c r="U90">
        <f>'Reducing Fittings'!F13</f>
        <v>0</v>
      </c>
    </row>
    <row r="91" spans="1:22" ht="14.5">
      <c r="A91" s="69"/>
      <c r="B91" s="256" t="str">
        <f>IF(ISERROR(VLOOKUP(L91,$M$6:$V$612,7,0)),"",(VLOOKUP(L91,$M$6:$V697,7,0)))</f>
        <v/>
      </c>
      <c r="C91" s="140" t="str">
        <f t="shared" si="15"/>
        <v/>
      </c>
      <c r="D91" s="141" t="str">
        <f t="shared" si="16"/>
        <v/>
      </c>
      <c r="E91" s="140" t="str">
        <f t="shared" si="17"/>
        <v/>
      </c>
      <c r="F91" s="141" t="str">
        <f t="shared" si="18"/>
        <v/>
      </c>
      <c r="G91" s="142" t="str">
        <f t="shared" si="19"/>
        <v/>
      </c>
      <c r="H91" s="143" t="str">
        <f t="shared" si="20"/>
        <v/>
      </c>
      <c r="I91" s="144" t="str">
        <f t="shared" si="21"/>
        <v/>
      </c>
      <c r="J91" s="82"/>
      <c r="L91" s="36">
        <v>86</v>
      </c>
      <c r="M91" s="39">
        <f t="shared" si="22"/>
        <v>0</v>
      </c>
      <c r="O91" s="41"/>
      <c r="P91" s="87">
        <f>'Reducing Fittings'!H14</f>
        <v>0</v>
      </c>
      <c r="Q91" s="92"/>
      <c r="R91" s="92"/>
      <c r="S91" s="2">
        <f>'Reducing Fittings'!D14</f>
        <v>0</v>
      </c>
      <c r="T91" s="2" t="str">
        <f>'Reducing Fittings'!E14</f>
        <v>Main Size</v>
      </c>
      <c r="U91" t="str">
        <f>'Reducing Fittings'!F14</f>
        <v>Reduced Size</v>
      </c>
    </row>
    <row r="92" spans="1:22" ht="14.5">
      <c r="A92" s="69"/>
      <c r="B92" s="256" t="str">
        <f>IF(ISERROR(VLOOKUP(L92,$M$6:$V$612,7,0)),"",(VLOOKUP(L92,$M$6:$V698,7,0)))</f>
        <v/>
      </c>
      <c r="C92" s="140" t="str">
        <f t="shared" si="15"/>
        <v/>
      </c>
      <c r="D92" s="141" t="str">
        <f t="shared" si="16"/>
        <v/>
      </c>
      <c r="E92" s="140" t="str">
        <f t="shared" si="17"/>
        <v/>
      </c>
      <c r="F92" s="141" t="str">
        <f t="shared" si="18"/>
        <v/>
      </c>
      <c r="G92" s="142" t="str">
        <f t="shared" si="19"/>
        <v/>
      </c>
      <c r="H92" s="143" t="str">
        <f t="shared" si="20"/>
        <v/>
      </c>
      <c r="I92" s="144" t="str">
        <f t="shared" si="21"/>
        <v/>
      </c>
      <c r="J92" s="82"/>
      <c r="L92" s="36">
        <v>87</v>
      </c>
      <c r="M92" s="39">
        <f t="shared" si="22"/>
        <v>0</v>
      </c>
      <c r="N92" s="5" t="s">
        <v>289</v>
      </c>
      <c r="O92" s="41"/>
      <c r="P92" s="39">
        <f>'Reducing Fittings'!H15</f>
        <v>0</v>
      </c>
      <c r="Q92" s="90">
        <f>'Reducing Fittings'!I15</f>
        <v>33.32</v>
      </c>
      <c r="R92" s="90">
        <f>'Reducing Fittings'!K15</f>
        <v>0</v>
      </c>
      <c r="S92" s="39">
        <f>'Reducing Fittings'!D15</f>
        <v>2811210780</v>
      </c>
      <c r="T92" s="39" t="str">
        <f>'Reducing Fittings'!E15</f>
        <v>25 / 1"</v>
      </c>
      <c r="U92" s="40" t="str">
        <f>'Reducing Fittings'!F15</f>
        <v>20 / ¾"</v>
      </c>
      <c r="V92" s="39">
        <v>1</v>
      </c>
    </row>
    <row r="93" spans="1:22" ht="14.5">
      <c r="A93" s="69"/>
      <c r="B93" s="256" t="str">
        <f>IF(ISERROR(VLOOKUP(L93,$M$6:$V$612,7,0)),"",(VLOOKUP(L93,$M$6:$V699,7,0)))</f>
        <v/>
      </c>
      <c r="C93" s="140" t="str">
        <f t="shared" si="15"/>
        <v/>
      </c>
      <c r="D93" s="141" t="str">
        <f t="shared" si="16"/>
        <v/>
      </c>
      <c r="E93" s="140" t="str">
        <f t="shared" si="17"/>
        <v/>
      </c>
      <c r="F93" s="141" t="str">
        <f t="shared" si="18"/>
        <v/>
      </c>
      <c r="G93" s="142" t="str">
        <f t="shared" si="19"/>
        <v/>
      </c>
      <c r="H93" s="143" t="str">
        <f t="shared" si="20"/>
        <v/>
      </c>
      <c r="I93" s="144" t="str">
        <f t="shared" si="21"/>
        <v/>
      </c>
      <c r="J93" s="82"/>
      <c r="L93" s="36">
        <v>88</v>
      </c>
      <c r="M93" s="39">
        <f t="shared" si="22"/>
        <v>0</v>
      </c>
      <c r="N93" s="5" t="s">
        <v>289</v>
      </c>
      <c r="O93" s="41"/>
      <c r="P93" s="39">
        <f>'Reducing Fittings'!H16</f>
        <v>0</v>
      </c>
      <c r="Q93" s="90">
        <f>'Reducing Fittings'!I16</f>
        <v>66.83</v>
      </c>
      <c r="R93" s="90">
        <f>'Reducing Fittings'!K16</f>
        <v>0</v>
      </c>
      <c r="S93" s="39">
        <f>'Reducing Fittings'!D16</f>
        <v>2811410780</v>
      </c>
      <c r="T93" s="39" t="str">
        <f>'Reducing Fittings'!E16</f>
        <v>40 / 1½"</v>
      </c>
      <c r="U93" s="40" t="str">
        <f>'Reducing Fittings'!F16</f>
        <v>20 / ¾"</v>
      </c>
      <c r="V93" s="39">
        <v>1</v>
      </c>
    </row>
    <row r="94" spans="1:22" ht="14.5">
      <c r="A94" s="69"/>
      <c r="B94" s="256" t="str">
        <f>IF(ISERROR(VLOOKUP(L94,$M$6:$V$612,7,0)),"",(VLOOKUP(L94,$M$6:$V700,7,0)))</f>
        <v/>
      </c>
      <c r="C94" s="140" t="str">
        <f t="shared" si="15"/>
        <v/>
      </c>
      <c r="D94" s="141" t="str">
        <f t="shared" si="16"/>
        <v/>
      </c>
      <c r="E94" s="140" t="str">
        <f t="shared" si="17"/>
        <v/>
      </c>
      <c r="F94" s="141" t="str">
        <f t="shared" si="18"/>
        <v/>
      </c>
      <c r="G94" s="142" t="str">
        <f t="shared" si="19"/>
        <v/>
      </c>
      <c r="H94" s="143" t="str">
        <f t="shared" si="20"/>
        <v/>
      </c>
      <c r="I94" s="144" t="str">
        <f t="shared" si="21"/>
        <v/>
      </c>
      <c r="J94" s="82"/>
      <c r="L94" s="2">
        <v>89</v>
      </c>
      <c r="M94" s="39">
        <f t="shared" si="22"/>
        <v>0</v>
      </c>
      <c r="N94" s="5" t="s">
        <v>289</v>
      </c>
      <c r="O94" s="41"/>
      <c r="P94" s="39">
        <f>'Reducing Fittings'!H17</f>
        <v>0</v>
      </c>
      <c r="Q94" s="90">
        <f>'Reducing Fittings'!I17</f>
        <v>52.64</v>
      </c>
      <c r="R94" s="90">
        <f>'Reducing Fittings'!K17</f>
        <v>0</v>
      </c>
      <c r="S94" s="39">
        <f>'Reducing Fittings'!D17</f>
        <v>2811420780</v>
      </c>
      <c r="T94" s="39" t="str">
        <f>'Reducing Fittings'!E17</f>
        <v>40 / 1½"</v>
      </c>
      <c r="U94" s="40" t="str">
        <f>'Reducing Fittings'!F17</f>
        <v>25 / 1"</v>
      </c>
      <c r="V94" s="39">
        <v>1</v>
      </c>
    </row>
    <row r="95" spans="1:22" ht="14.5">
      <c r="A95" s="69"/>
      <c r="B95" s="256" t="str">
        <f>IF(ISERROR(VLOOKUP(L95,$M$6:$V$612,7,0)),"",(VLOOKUP(L95,$M$6:$V701,7,0)))</f>
        <v/>
      </c>
      <c r="C95" s="140" t="str">
        <f t="shared" si="15"/>
        <v/>
      </c>
      <c r="D95" s="141" t="str">
        <f t="shared" si="16"/>
        <v/>
      </c>
      <c r="E95" s="140" t="str">
        <f t="shared" si="17"/>
        <v/>
      </c>
      <c r="F95" s="141" t="str">
        <f t="shared" si="18"/>
        <v/>
      </c>
      <c r="G95" s="142" t="str">
        <f t="shared" si="19"/>
        <v/>
      </c>
      <c r="H95" s="143" t="str">
        <f t="shared" si="20"/>
        <v/>
      </c>
      <c r="I95" s="144" t="str">
        <f t="shared" si="21"/>
        <v/>
      </c>
      <c r="J95" s="82"/>
      <c r="L95" s="36">
        <v>90</v>
      </c>
      <c r="M95" s="39">
        <f t="shared" si="22"/>
        <v>0</v>
      </c>
      <c r="N95" s="5" t="s">
        <v>289</v>
      </c>
      <c r="O95" s="41"/>
      <c r="P95" s="39">
        <f>'Reducing Fittings'!H18</f>
        <v>0</v>
      </c>
      <c r="Q95" s="90">
        <f>'Reducing Fittings'!I18</f>
        <v>71.930000000000007</v>
      </c>
      <c r="R95" s="90">
        <f>'Reducing Fittings'!K18</f>
        <v>0</v>
      </c>
      <c r="S95" s="39">
        <f>'Reducing Fittings'!D18</f>
        <v>2811510780</v>
      </c>
      <c r="T95" s="39" t="str">
        <f>'Reducing Fittings'!E18</f>
        <v>50 / 2"</v>
      </c>
      <c r="U95" s="40" t="str">
        <f>'Reducing Fittings'!F18</f>
        <v>20 / ¾"</v>
      </c>
      <c r="V95" s="39">
        <v>1</v>
      </c>
    </row>
    <row r="96" spans="1:22" ht="14.5">
      <c r="A96" s="69"/>
      <c r="B96" s="256" t="str">
        <f>IF(ISERROR(VLOOKUP(L96,$M$6:$V$612,7,0)),"",(VLOOKUP(L96,$M$6:$V702,7,0)))</f>
        <v/>
      </c>
      <c r="C96" s="140" t="str">
        <f t="shared" si="15"/>
        <v/>
      </c>
      <c r="D96" s="141" t="str">
        <f t="shared" si="16"/>
        <v/>
      </c>
      <c r="E96" s="140" t="str">
        <f t="shared" si="17"/>
        <v/>
      </c>
      <c r="F96" s="141" t="str">
        <f t="shared" si="18"/>
        <v/>
      </c>
      <c r="G96" s="142" t="str">
        <f t="shared" si="19"/>
        <v/>
      </c>
      <c r="H96" s="143" t="str">
        <f t="shared" si="20"/>
        <v/>
      </c>
      <c r="I96" s="144" t="str">
        <f t="shared" si="21"/>
        <v/>
      </c>
      <c r="J96" s="82"/>
      <c r="L96" s="36">
        <v>91</v>
      </c>
      <c r="M96" s="39">
        <f t="shared" si="22"/>
        <v>0</v>
      </c>
      <c r="N96" s="5" t="s">
        <v>289</v>
      </c>
      <c r="O96" s="41"/>
      <c r="P96" s="39">
        <f>'Reducing Fittings'!H19</f>
        <v>0</v>
      </c>
      <c r="Q96" s="90">
        <f>'Reducing Fittings'!I19</f>
        <v>85.53</v>
      </c>
      <c r="R96" s="90">
        <f>'Reducing Fittings'!K19</f>
        <v>0</v>
      </c>
      <c r="S96" s="39">
        <f>'Reducing Fittings'!D19</f>
        <v>2811520780</v>
      </c>
      <c r="T96" s="39" t="str">
        <f>'Reducing Fittings'!E19</f>
        <v>50 / 2"</v>
      </c>
      <c r="U96" s="40" t="str">
        <f>'Reducing Fittings'!F19</f>
        <v>25 / 1"</v>
      </c>
      <c r="V96" s="39">
        <v>1</v>
      </c>
    </row>
    <row r="97" spans="1:22" ht="14.5">
      <c r="A97" s="69"/>
      <c r="B97" s="256" t="str">
        <f>IF(ISERROR(VLOOKUP(L97,$M$6:$V$612,7,0)),"",(VLOOKUP(L97,$M$6:$V703,7,0)))</f>
        <v/>
      </c>
      <c r="C97" s="140" t="str">
        <f t="shared" si="15"/>
        <v/>
      </c>
      <c r="D97" s="141" t="str">
        <f t="shared" si="16"/>
        <v/>
      </c>
      <c r="E97" s="140" t="str">
        <f t="shared" si="17"/>
        <v/>
      </c>
      <c r="F97" s="141" t="str">
        <f t="shared" si="18"/>
        <v/>
      </c>
      <c r="G97" s="142" t="str">
        <f t="shared" si="19"/>
        <v/>
      </c>
      <c r="H97" s="143" t="str">
        <f t="shared" si="20"/>
        <v/>
      </c>
      <c r="I97" s="144" t="str">
        <f t="shared" si="21"/>
        <v/>
      </c>
      <c r="J97" s="82"/>
      <c r="L97" s="36">
        <v>92</v>
      </c>
      <c r="M97" s="39">
        <f t="shared" si="22"/>
        <v>0</v>
      </c>
      <c r="N97" s="5" t="s">
        <v>289</v>
      </c>
      <c r="O97" s="41"/>
      <c r="P97" s="39">
        <f>'Reducing Fittings'!H20</f>
        <v>0</v>
      </c>
      <c r="Q97" s="90">
        <f>'Reducing Fittings'!I20</f>
        <v>111.39</v>
      </c>
      <c r="R97" s="90">
        <f>'Reducing Fittings'!K20</f>
        <v>0</v>
      </c>
      <c r="S97" s="39">
        <f>'Reducing Fittings'!D20</f>
        <v>2811540780</v>
      </c>
      <c r="T97" s="39" t="str">
        <f>'Reducing Fittings'!E20</f>
        <v>50 / 2"</v>
      </c>
      <c r="U97" s="40" t="str">
        <f>'Reducing Fittings'!F20</f>
        <v>40 / 1½"</v>
      </c>
      <c r="V97" s="39">
        <v>1</v>
      </c>
    </row>
    <row r="98" spans="1:22" ht="14.5">
      <c r="A98" s="69"/>
      <c r="B98" s="256" t="str">
        <f>IF(ISERROR(VLOOKUP(L98,$M$6:$V$612,7,0)),"",(VLOOKUP(L98,$M$6:$V704,7,0)))</f>
        <v/>
      </c>
      <c r="C98" s="140" t="str">
        <f t="shared" si="15"/>
        <v/>
      </c>
      <c r="D98" s="141" t="str">
        <f t="shared" si="16"/>
        <v/>
      </c>
      <c r="E98" s="140" t="str">
        <f t="shared" si="17"/>
        <v/>
      </c>
      <c r="F98" s="141" t="str">
        <f t="shared" si="18"/>
        <v/>
      </c>
      <c r="G98" s="142" t="str">
        <f t="shared" si="19"/>
        <v/>
      </c>
      <c r="H98" s="143" t="str">
        <f t="shared" si="20"/>
        <v/>
      </c>
      <c r="I98" s="144" t="str">
        <f t="shared" si="21"/>
        <v/>
      </c>
      <c r="J98" s="82"/>
      <c r="L98" s="36">
        <v>93</v>
      </c>
      <c r="M98" s="39">
        <f t="shared" si="22"/>
        <v>0</v>
      </c>
      <c r="N98" s="9"/>
      <c r="O98" s="41"/>
      <c r="P98" s="2">
        <f>'Reducing Fittings'!H21</f>
        <v>0</v>
      </c>
      <c r="Q98" s="92">
        <f>'Reducing Fittings'!I21</f>
        <v>0</v>
      </c>
      <c r="R98" s="92">
        <f>'Reducing Fittings'!K21</f>
        <v>0</v>
      </c>
      <c r="S98" s="2">
        <f>'Reducing Fittings'!D21</f>
        <v>0</v>
      </c>
      <c r="T98" s="2" t="str">
        <f>'Reducing Fittings'!E21</f>
        <v>Main Size</v>
      </c>
      <c r="U98" t="str">
        <f>'Reducing Fittings'!F21</f>
        <v>Reduced Size</v>
      </c>
    </row>
    <row r="99" spans="1:22" ht="14.5">
      <c r="A99" s="69"/>
      <c r="B99" s="256" t="str">
        <f>IF(ISERROR(VLOOKUP(L99,$M$6:$V$612,7,0)),"",(VLOOKUP(L99,$M$6:$V705,7,0)))</f>
        <v/>
      </c>
      <c r="C99" s="140" t="str">
        <f t="shared" si="15"/>
        <v/>
      </c>
      <c r="D99" s="141" t="str">
        <f t="shared" si="16"/>
        <v/>
      </c>
      <c r="E99" s="140" t="str">
        <f t="shared" si="17"/>
        <v/>
      </c>
      <c r="F99" s="141" t="str">
        <f t="shared" si="18"/>
        <v/>
      </c>
      <c r="G99" s="142" t="str">
        <f t="shared" si="19"/>
        <v/>
      </c>
      <c r="H99" s="143" t="str">
        <f t="shared" si="20"/>
        <v/>
      </c>
      <c r="I99" s="144" t="str">
        <f t="shared" si="21"/>
        <v/>
      </c>
      <c r="J99" s="82"/>
      <c r="L99" s="36">
        <v>94</v>
      </c>
      <c r="M99" s="39">
        <f t="shared" si="22"/>
        <v>0</v>
      </c>
      <c r="N99" s="5" t="s">
        <v>289</v>
      </c>
      <c r="O99" s="41"/>
      <c r="P99" s="39">
        <f>'Reducing Fittings'!H22</f>
        <v>0</v>
      </c>
      <c r="Q99" s="90">
        <f>'Reducing Fittings'!I22</f>
        <v>138.11000000000001</v>
      </c>
      <c r="R99" s="90">
        <f>'Reducing Fittings'!K22</f>
        <v>0</v>
      </c>
      <c r="S99" s="39">
        <f>'Reducing Fittings'!D22</f>
        <v>2811640790</v>
      </c>
      <c r="T99" s="39" t="str">
        <f>'Reducing Fittings'!E22</f>
        <v>63 / 2½"</v>
      </c>
      <c r="U99" s="40" t="str">
        <f>'Reducing Fittings'!F22</f>
        <v>40 / 1½"</v>
      </c>
      <c r="V99" s="39">
        <v>1</v>
      </c>
    </row>
    <row r="100" spans="1:22" ht="14.5">
      <c r="A100" s="69"/>
      <c r="B100" s="256" t="str">
        <f>IF(ISERROR(VLOOKUP(L100,$M$6:$V$612,7,0)),"",(VLOOKUP(L100,$M$6:$V706,7,0)))</f>
        <v/>
      </c>
      <c r="C100" s="140" t="str">
        <f t="shared" si="15"/>
        <v/>
      </c>
      <c r="D100" s="141" t="str">
        <f t="shared" si="16"/>
        <v/>
      </c>
      <c r="E100" s="140" t="str">
        <f t="shared" si="17"/>
        <v/>
      </c>
      <c r="F100" s="141" t="str">
        <f t="shared" si="18"/>
        <v/>
      </c>
      <c r="G100" s="142" t="str">
        <f t="shared" si="19"/>
        <v/>
      </c>
      <c r="H100" s="143" t="str">
        <f t="shared" si="20"/>
        <v/>
      </c>
      <c r="I100" s="144" t="str">
        <f t="shared" si="21"/>
        <v/>
      </c>
      <c r="J100" s="82"/>
      <c r="L100" s="36">
        <v>95</v>
      </c>
      <c r="M100" s="39">
        <f t="shared" si="22"/>
        <v>0</v>
      </c>
      <c r="N100" s="5" t="s">
        <v>289</v>
      </c>
      <c r="O100" s="41"/>
      <c r="P100" s="39">
        <f>'Reducing Fittings'!H23</f>
        <v>0</v>
      </c>
      <c r="Q100" s="90">
        <f>'Reducing Fittings'!I23</f>
        <v>134.06</v>
      </c>
      <c r="R100" s="90">
        <f>'Reducing Fittings'!K23</f>
        <v>0</v>
      </c>
      <c r="S100" s="39">
        <f>'Reducing Fittings'!D23</f>
        <v>2811650790</v>
      </c>
      <c r="T100" s="39" t="str">
        <f>'Reducing Fittings'!E23</f>
        <v>63 / 2½"</v>
      </c>
      <c r="U100" s="40" t="str">
        <f>'Reducing Fittings'!F23</f>
        <v>50 / 2"</v>
      </c>
      <c r="V100" s="39">
        <v>1</v>
      </c>
    </row>
    <row r="101" spans="1:22" ht="14.5">
      <c r="A101" s="69"/>
      <c r="B101" s="256" t="str">
        <f>IF(ISERROR(VLOOKUP(L101,$M$6:$V$612,7,0)),"",(VLOOKUP(L101,$M$6:$V707,7,0)))</f>
        <v/>
      </c>
      <c r="C101" s="140" t="str">
        <f t="shared" si="15"/>
        <v/>
      </c>
      <c r="D101" s="141" t="str">
        <f t="shared" si="16"/>
        <v/>
      </c>
      <c r="E101" s="140" t="str">
        <f t="shared" si="17"/>
        <v/>
      </c>
      <c r="F101" s="141" t="str">
        <f t="shared" si="18"/>
        <v/>
      </c>
      <c r="G101" s="142" t="str">
        <f t="shared" si="19"/>
        <v/>
      </c>
      <c r="H101" s="143" t="str">
        <f t="shared" si="20"/>
        <v/>
      </c>
      <c r="I101" s="144" t="str">
        <f t="shared" si="21"/>
        <v/>
      </c>
      <c r="J101" s="82"/>
      <c r="L101" s="36">
        <v>96</v>
      </c>
      <c r="M101" s="39">
        <f t="shared" si="22"/>
        <v>0</v>
      </c>
      <c r="N101" s="5" t="s">
        <v>289</v>
      </c>
      <c r="O101" s="41"/>
      <c r="P101" s="39">
        <f>'Reducing Fittings'!H24</f>
        <v>0</v>
      </c>
      <c r="Q101" s="90">
        <f>'Reducing Fittings'!I24</f>
        <v>175.38</v>
      </c>
      <c r="R101" s="90">
        <f>'Reducing Fittings'!K24</f>
        <v>0</v>
      </c>
      <c r="S101" s="39">
        <f>'Reducing Fittings'!D24</f>
        <v>2811740790</v>
      </c>
      <c r="T101" s="39" t="str">
        <f>'Reducing Fittings'!E24</f>
        <v>80 / 3"</v>
      </c>
      <c r="U101" s="40" t="str">
        <f>'Reducing Fittings'!F24</f>
        <v>40 / 1½"</v>
      </c>
      <c r="V101" s="39">
        <v>1</v>
      </c>
    </row>
    <row r="102" spans="1:22" ht="14.5">
      <c r="A102" s="69"/>
      <c r="B102" s="256" t="str">
        <f>IF(ISERROR(VLOOKUP(L102,$M$6:$V$612,7,0)),"",(VLOOKUP(L102,$M$6:$V708,7,0)))</f>
        <v/>
      </c>
      <c r="C102" s="140" t="str">
        <f t="shared" ref="C102:C133" si="23">IF(ISERROR(VLOOKUP(L102,$M$6:$V$612,2,0)),"",(VLOOKUP(L102,$M$6:$V$612,2,0)))</f>
        <v/>
      </c>
      <c r="D102" s="141" t="str">
        <f t="shared" ref="D102:D133" si="24">IF(ISERROR(VLOOKUP(L102,$M$6:$V$612,8,0)),"",(VLOOKUP(L102,$M$6:$V$612,8,0)))</f>
        <v/>
      </c>
      <c r="E102" s="140" t="str">
        <f t="shared" ref="E102:E133" si="25">IF(ISERROR(VLOOKUP(L102,$M$6:$V$612,9,FALSE)),"",(VLOOKUP(L102,$M$6:$V$612,9,0)))</f>
        <v/>
      </c>
      <c r="F102" s="141" t="str">
        <f t="shared" ref="F102:F133" si="26">IF(ISERROR(VLOOKUP(L102,$M$6:$V$612,10,0)),"",(VLOOKUP(L102,$M$6:$V$612,10,0)))</f>
        <v/>
      </c>
      <c r="G102" s="142" t="str">
        <f t="shared" ref="G102:G133" si="27">IF(ISERROR(VLOOKUP(L102,$M$6:$V$612,5,0)),"",(VLOOKUP(L102,$M$6:$V$612,5,0)))</f>
        <v/>
      </c>
      <c r="H102" s="143" t="str">
        <f t="shared" ref="H102:H133" si="28">IF(ISERROR(VLOOKUP(L102,$M$6:$V$612,4,0)),"",(VLOOKUP(L102,$M$6:$V$612,4,0)))</f>
        <v/>
      </c>
      <c r="I102" s="144" t="str">
        <f t="shared" ref="I102:I133" si="29">IF(ISERROR(VLOOKUP(L102,$M$6:$V$612,6,0)),"",(VLOOKUP(L102,$M$6:$V$612,6,0)))</f>
        <v/>
      </c>
      <c r="J102" s="82"/>
      <c r="L102" s="36">
        <v>97</v>
      </c>
      <c r="M102" s="39">
        <f t="shared" si="22"/>
        <v>0</v>
      </c>
      <c r="N102" s="5" t="s">
        <v>289</v>
      </c>
      <c r="O102" s="41"/>
      <c r="P102" s="39">
        <f>'Reducing Fittings'!H25</f>
        <v>0</v>
      </c>
      <c r="Q102" s="90">
        <f>'Reducing Fittings'!I25</f>
        <v>170.24</v>
      </c>
      <c r="R102" s="90">
        <f>'Reducing Fittings'!K25</f>
        <v>0</v>
      </c>
      <c r="S102" s="39">
        <f>'Reducing Fittings'!D25</f>
        <v>2811750790</v>
      </c>
      <c r="T102" s="39" t="str">
        <f>'Reducing Fittings'!E25</f>
        <v>80 / 3"</v>
      </c>
      <c r="U102" s="40" t="str">
        <f>'Reducing Fittings'!F25</f>
        <v>50 / 2"</v>
      </c>
      <c r="V102" s="39">
        <v>1</v>
      </c>
    </row>
    <row r="103" spans="1:22" ht="14.5">
      <c r="A103" s="69"/>
      <c r="B103" s="256" t="str">
        <f>IF(ISERROR(VLOOKUP(L103,$M$6:$V$612,7,0)),"",(VLOOKUP(L103,$M$6:$V709,7,0)))</f>
        <v/>
      </c>
      <c r="C103" s="140" t="str">
        <f t="shared" si="23"/>
        <v/>
      </c>
      <c r="D103" s="141" t="str">
        <f t="shared" si="24"/>
        <v/>
      </c>
      <c r="E103" s="140" t="str">
        <f t="shared" si="25"/>
        <v/>
      </c>
      <c r="F103" s="141" t="str">
        <f t="shared" si="26"/>
        <v/>
      </c>
      <c r="G103" s="142" t="str">
        <f t="shared" si="27"/>
        <v/>
      </c>
      <c r="H103" s="143" t="str">
        <f t="shared" si="28"/>
        <v/>
      </c>
      <c r="I103" s="144" t="str">
        <f t="shared" si="29"/>
        <v/>
      </c>
      <c r="J103" s="82"/>
      <c r="L103" s="36">
        <v>98</v>
      </c>
      <c r="M103" s="39">
        <f t="shared" si="22"/>
        <v>0</v>
      </c>
      <c r="N103" s="5" t="s">
        <v>289</v>
      </c>
      <c r="O103" s="41"/>
      <c r="P103" s="39">
        <f>'Reducing Fittings'!H26</f>
        <v>0</v>
      </c>
      <c r="Q103" s="90">
        <f>'Reducing Fittings'!I26</f>
        <v>170.2</v>
      </c>
      <c r="R103" s="90">
        <f>'Reducing Fittings'!K26</f>
        <v>0</v>
      </c>
      <c r="S103" s="39">
        <f>'Reducing Fittings'!D26</f>
        <v>2811760790</v>
      </c>
      <c r="T103" s="39" t="str">
        <f>'Reducing Fittings'!E26</f>
        <v>80 / 3"</v>
      </c>
      <c r="U103" s="40" t="str">
        <f>'Reducing Fittings'!F26</f>
        <v>63 / 2½"</v>
      </c>
      <c r="V103" s="39">
        <v>1</v>
      </c>
    </row>
    <row r="104" spans="1:22" ht="14.5">
      <c r="A104" s="69"/>
      <c r="B104" s="256" t="str">
        <f>IF(ISERROR(VLOOKUP(L104,$M$6:$V$612,7,0)),"",(VLOOKUP(L104,$M$6:$V710,7,0)))</f>
        <v/>
      </c>
      <c r="C104" s="140" t="str">
        <f t="shared" si="23"/>
        <v/>
      </c>
      <c r="D104" s="141" t="str">
        <f t="shared" si="24"/>
        <v/>
      </c>
      <c r="E104" s="140" t="str">
        <f t="shared" si="25"/>
        <v/>
      </c>
      <c r="F104" s="141" t="str">
        <f t="shared" si="26"/>
        <v/>
      </c>
      <c r="G104" s="142" t="str">
        <f t="shared" si="27"/>
        <v/>
      </c>
      <c r="H104" s="143" t="str">
        <f t="shared" si="28"/>
        <v/>
      </c>
      <c r="I104" s="144" t="str">
        <f t="shared" si="29"/>
        <v/>
      </c>
      <c r="J104" s="82"/>
      <c r="L104" s="36">
        <v>99</v>
      </c>
      <c r="M104" s="39">
        <f t="shared" si="22"/>
        <v>0</v>
      </c>
      <c r="N104" s="9"/>
      <c r="O104" s="41"/>
      <c r="Q104" s="92"/>
      <c r="R104" s="92"/>
      <c r="S104" s="2">
        <f>'Reducing Fittings'!D27</f>
        <v>0</v>
      </c>
      <c r="T104" s="2" t="str">
        <f>'Reducing Fittings'!E27</f>
        <v>Main Size</v>
      </c>
      <c r="U104" t="str">
        <f>'Reducing Fittings'!F27</f>
        <v>Reduced Size</v>
      </c>
    </row>
    <row r="105" spans="1:22" ht="14.5">
      <c r="A105" s="69"/>
      <c r="B105" s="256" t="str">
        <f>IF(ISERROR(VLOOKUP(L105,$M$6:$V$612,7,0)),"",(VLOOKUP(L105,$M$6:$V711,7,0)))</f>
        <v/>
      </c>
      <c r="C105" s="140" t="str">
        <f t="shared" si="23"/>
        <v/>
      </c>
      <c r="D105" s="141" t="str">
        <f t="shared" si="24"/>
        <v/>
      </c>
      <c r="E105" s="140" t="str">
        <f t="shared" si="25"/>
        <v/>
      </c>
      <c r="F105" s="141" t="str">
        <f t="shared" si="26"/>
        <v/>
      </c>
      <c r="G105" s="142" t="str">
        <f t="shared" si="27"/>
        <v/>
      </c>
      <c r="H105" s="143" t="str">
        <f t="shared" si="28"/>
        <v/>
      </c>
      <c r="I105" s="144" t="str">
        <f t="shared" si="29"/>
        <v/>
      </c>
      <c r="J105" s="82"/>
      <c r="L105" s="36">
        <v>100</v>
      </c>
      <c r="M105" s="39">
        <f t="shared" si="22"/>
        <v>0</v>
      </c>
      <c r="N105" s="5" t="s">
        <v>290</v>
      </c>
      <c r="O105" s="41"/>
      <c r="P105" s="39">
        <f>'Reducing Fittings'!H28</f>
        <v>0</v>
      </c>
      <c r="Q105" s="90">
        <f>'Reducing Fittings'!I28</f>
        <v>147.63</v>
      </c>
      <c r="R105" s="90">
        <f>'Reducing Fittings'!K28</f>
        <v>0</v>
      </c>
      <c r="S105" s="39">
        <f>'Reducing Fittings'!D28</f>
        <v>2810850700</v>
      </c>
      <c r="T105" s="39" t="str">
        <f>'Reducing Fittings'!E28</f>
        <v>100 / 4"</v>
      </c>
      <c r="U105" s="40" t="str">
        <f>'Reducing Fittings'!F28</f>
        <v>50 / 2"</v>
      </c>
      <c r="V105" s="39">
        <v>1</v>
      </c>
    </row>
    <row r="106" spans="1:22" ht="14.5">
      <c r="A106" s="69"/>
      <c r="B106" s="256" t="str">
        <f>IF(ISERROR(VLOOKUP(L106,$M$6:$V$612,7,0)),"",(VLOOKUP(L106,$M$6:$V712,7,0)))</f>
        <v/>
      </c>
      <c r="C106" s="140" t="str">
        <f t="shared" si="23"/>
        <v/>
      </c>
      <c r="D106" s="141" t="str">
        <f t="shared" si="24"/>
        <v/>
      </c>
      <c r="E106" s="140" t="str">
        <f t="shared" si="25"/>
        <v/>
      </c>
      <c r="F106" s="141" t="str">
        <f t="shared" si="26"/>
        <v/>
      </c>
      <c r="G106" s="142" t="str">
        <f t="shared" si="27"/>
        <v/>
      </c>
      <c r="H106" s="143" t="str">
        <f t="shared" si="28"/>
        <v/>
      </c>
      <c r="I106" s="144" t="str">
        <f t="shared" si="29"/>
        <v/>
      </c>
      <c r="J106" s="82"/>
      <c r="L106" s="36">
        <v>101</v>
      </c>
      <c r="M106" s="39">
        <f t="shared" si="22"/>
        <v>0</v>
      </c>
      <c r="N106" s="5" t="s">
        <v>290</v>
      </c>
      <c r="O106" s="41"/>
      <c r="P106" s="39">
        <f>'Reducing Fittings'!H29</f>
        <v>0</v>
      </c>
      <c r="Q106" s="90">
        <f>'Reducing Fittings'!I29</f>
        <v>151.31</v>
      </c>
      <c r="R106" s="90">
        <f>'Reducing Fittings'!K29</f>
        <v>0</v>
      </c>
      <c r="S106" s="39">
        <f>'Reducing Fittings'!D29</f>
        <v>2810860700</v>
      </c>
      <c r="T106" s="39" t="str">
        <f>'Reducing Fittings'!E29</f>
        <v>100 / 4"</v>
      </c>
      <c r="U106" s="40" t="str">
        <f>'Reducing Fittings'!F29</f>
        <v>63 / 2½"</v>
      </c>
      <c r="V106" s="39">
        <v>1</v>
      </c>
    </row>
    <row r="107" spans="1:22" ht="14.5">
      <c r="A107" s="69"/>
      <c r="B107" s="256" t="str">
        <f>IF(ISERROR(VLOOKUP(L107,$M$6:$V$612,7,0)),"",(VLOOKUP(L107,$M$6:$V713,7,0)))</f>
        <v/>
      </c>
      <c r="C107" s="140" t="str">
        <f t="shared" si="23"/>
        <v/>
      </c>
      <c r="D107" s="141" t="str">
        <f t="shared" si="24"/>
        <v/>
      </c>
      <c r="E107" s="140" t="str">
        <f t="shared" si="25"/>
        <v/>
      </c>
      <c r="F107" s="141" t="str">
        <f t="shared" si="26"/>
        <v/>
      </c>
      <c r="G107" s="142" t="str">
        <f t="shared" si="27"/>
        <v/>
      </c>
      <c r="H107" s="143" t="str">
        <f t="shared" si="28"/>
        <v/>
      </c>
      <c r="I107" s="144" t="str">
        <f t="shared" si="29"/>
        <v/>
      </c>
      <c r="J107" s="82"/>
      <c r="L107" s="36">
        <v>102</v>
      </c>
      <c r="M107" s="39">
        <f t="shared" si="22"/>
        <v>0</v>
      </c>
      <c r="N107" s="5" t="s">
        <v>290</v>
      </c>
      <c r="O107" s="41"/>
      <c r="P107" s="39">
        <f>'Reducing Fittings'!H30</f>
        <v>0</v>
      </c>
      <c r="Q107" s="90">
        <f>'Reducing Fittings'!I30</f>
        <v>169.88</v>
      </c>
      <c r="R107" s="90">
        <f>'Reducing Fittings'!K30</f>
        <v>0</v>
      </c>
      <c r="S107" s="39">
        <f>'Reducing Fittings'!D30</f>
        <v>2810870700</v>
      </c>
      <c r="T107" s="39" t="str">
        <f>'Reducing Fittings'!E30</f>
        <v>100 / 4"</v>
      </c>
      <c r="U107" s="40" t="str">
        <f>'Reducing Fittings'!F30</f>
        <v>80 / 3"</v>
      </c>
      <c r="V107" s="39">
        <v>1</v>
      </c>
    </row>
    <row r="108" spans="1:22" ht="14.5">
      <c r="A108" s="69"/>
      <c r="B108" s="256" t="str">
        <f>IF(ISERROR(VLOOKUP(L108,$M$6:$V$612,7,0)),"",(VLOOKUP(L108,$M$6:$V714,7,0)))</f>
        <v/>
      </c>
      <c r="C108" s="140" t="str">
        <f t="shared" si="23"/>
        <v/>
      </c>
      <c r="D108" s="141" t="str">
        <f t="shared" si="24"/>
        <v/>
      </c>
      <c r="E108" s="140" t="str">
        <f t="shared" si="25"/>
        <v/>
      </c>
      <c r="F108" s="141" t="str">
        <f t="shared" si="26"/>
        <v/>
      </c>
      <c r="G108" s="142" t="str">
        <f t="shared" si="27"/>
        <v/>
      </c>
      <c r="H108" s="143" t="str">
        <f t="shared" si="28"/>
        <v/>
      </c>
      <c r="I108" s="144" t="str">
        <f t="shared" si="29"/>
        <v/>
      </c>
      <c r="J108" s="82"/>
      <c r="L108" s="36">
        <v>103</v>
      </c>
      <c r="M108" s="39">
        <f t="shared" si="22"/>
        <v>0</v>
      </c>
      <c r="N108" s="5" t="s">
        <v>290</v>
      </c>
      <c r="O108" s="41"/>
      <c r="P108" s="39">
        <f>'Reducing Fittings'!H31</f>
        <v>0</v>
      </c>
      <c r="Q108" s="90">
        <f>'Reducing Fittings'!I31</f>
        <v>168.97</v>
      </c>
      <c r="R108" s="90">
        <f>'Reducing Fittings'!K31</f>
        <v>0</v>
      </c>
      <c r="S108" s="39">
        <f>'Reducing Fittings'!D31</f>
        <v>2810970700</v>
      </c>
      <c r="T108" s="39" t="str">
        <f>'Reducing Fittings'!E31</f>
        <v>158 / 6"</v>
      </c>
      <c r="U108" s="40" t="str">
        <f>'Reducing Fittings'!F31</f>
        <v>80 / 3"</v>
      </c>
      <c r="V108" s="39">
        <v>1</v>
      </c>
    </row>
    <row r="109" spans="1:22" ht="14.5">
      <c r="A109" s="69"/>
      <c r="B109" s="256" t="str">
        <f>IF(ISERROR(VLOOKUP(L109,$M$6:$V$612,7,0)),"",(VLOOKUP(L109,$M$6:$V715,7,0)))</f>
        <v/>
      </c>
      <c r="C109" s="140" t="str">
        <f t="shared" si="23"/>
        <v/>
      </c>
      <c r="D109" s="141" t="str">
        <f t="shared" si="24"/>
        <v/>
      </c>
      <c r="E109" s="140" t="str">
        <f t="shared" si="25"/>
        <v/>
      </c>
      <c r="F109" s="141" t="str">
        <f t="shared" si="26"/>
        <v/>
      </c>
      <c r="G109" s="142" t="str">
        <f t="shared" si="27"/>
        <v/>
      </c>
      <c r="H109" s="143" t="str">
        <f t="shared" si="28"/>
        <v/>
      </c>
      <c r="I109" s="144" t="str">
        <f t="shared" si="29"/>
        <v/>
      </c>
      <c r="J109" s="82"/>
      <c r="L109" s="36">
        <v>104</v>
      </c>
      <c r="M109" s="39">
        <f t="shared" si="22"/>
        <v>0</v>
      </c>
      <c r="N109" s="5" t="s">
        <v>290</v>
      </c>
      <c r="O109" s="41"/>
      <c r="P109" s="39">
        <f>'Reducing Fittings'!H32</f>
        <v>0</v>
      </c>
      <c r="Q109" s="90">
        <f>'Reducing Fittings'!I32</f>
        <v>168.97</v>
      </c>
      <c r="R109" s="90">
        <f>'Reducing Fittings'!K32</f>
        <v>0</v>
      </c>
      <c r="S109" s="39">
        <f>'Reducing Fittings'!D32</f>
        <v>2810980700</v>
      </c>
      <c r="T109" s="39" t="str">
        <f>'Reducing Fittings'!E32</f>
        <v>158 / 6"</v>
      </c>
      <c r="U109" s="40" t="str">
        <f>'Reducing Fittings'!F32</f>
        <v>100 / 4"</v>
      </c>
      <c r="V109" s="39">
        <v>1</v>
      </c>
    </row>
    <row r="110" spans="1:22" ht="14.5">
      <c r="A110" s="69"/>
      <c r="B110" s="256" t="str">
        <f>IF(ISERROR(VLOOKUP(L110,$M$6:$V$612,7,0)),"",(VLOOKUP(L110,$M$6:$V716,7,0)))</f>
        <v/>
      </c>
      <c r="C110" s="140" t="str">
        <f t="shared" si="23"/>
        <v/>
      </c>
      <c r="D110" s="141" t="str">
        <f t="shared" si="24"/>
        <v/>
      </c>
      <c r="E110" s="140" t="str">
        <f t="shared" si="25"/>
        <v/>
      </c>
      <c r="F110" s="141" t="str">
        <f t="shared" si="26"/>
        <v/>
      </c>
      <c r="G110" s="142" t="str">
        <f t="shared" si="27"/>
        <v/>
      </c>
      <c r="H110" s="143" t="str">
        <f t="shared" si="28"/>
        <v/>
      </c>
      <c r="I110" s="144" t="str">
        <f t="shared" si="29"/>
        <v/>
      </c>
      <c r="J110" s="82"/>
      <c r="L110" s="36">
        <v>105</v>
      </c>
      <c r="M110" s="39">
        <f t="shared" si="22"/>
        <v>0</v>
      </c>
      <c r="N110" s="18"/>
      <c r="O110" s="41"/>
      <c r="P110" s="87">
        <f>'Reducing Fittings'!H36</f>
        <v>0</v>
      </c>
      <c r="Q110" s="94">
        <f>'Reducing Fittings'!I36</f>
        <v>0</v>
      </c>
      <c r="R110" s="94">
        <f>'Reducing Fittings'!K36</f>
        <v>0</v>
      </c>
      <c r="S110" s="87">
        <f>'Reducing Fittings'!D36</f>
        <v>0</v>
      </c>
      <c r="T110" s="87" t="str">
        <f>'Reducing Fittings'!E36</f>
        <v>Main Size</v>
      </c>
      <c r="U110" s="18" t="str">
        <f>'Reducing Fittings'!F36</f>
        <v>Reduced Size</v>
      </c>
      <c r="V110" s="87">
        <v>1</v>
      </c>
    </row>
    <row r="111" spans="1:22" ht="14.5">
      <c r="A111" s="69"/>
      <c r="B111" s="256" t="str">
        <f>IF(ISERROR(VLOOKUP(L111,$M$6:$V$612,7,0)),"",(VLOOKUP(L111,$M$6:$V717,7,0)))</f>
        <v/>
      </c>
      <c r="C111" s="140" t="str">
        <f t="shared" si="23"/>
        <v/>
      </c>
      <c r="D111" s="141" t="str">
        <f t="shared" si="24"/>
        <v/>
      </c>
      <c r="E111" s="140" t="str">
        <f t="shared" si="25"/>
        <v/>
      </c>
      <c r="F111" s="141" t="str">
        <f t="shared" si="26"/>
        <v/>
      </c>
      <c r="G111" s="142" t="str">
        <f t="shared" si="27"/>
        <v/>
      </c>
      <c r="H111" s="143" t="str">
        <f t="shared" si="28"/>
        <v/>
      </c>
      <c r="I111" s="144" t="str">
        <f t="shared" si="29"/>
        <v/>
      </c>
      <c r="J111" s="82"/>
      <c r="L111" s="36">
        <v>106</v>
      </c>
      <c r="M111" s="39">
        <f t="shared" si="22"/>
        <v>0</v>
      </c>
      <c r="N111" s="5" t="s">
        <v>273</v>
      </c>
      <c r="O111" s="41"/>
      <c r="P111" s="39">
        <f>'Reducing Fittings'!H37</f>
        <v>0</v>
      </c>
      <c r="Q111" s="90">
        <f>'Reducing Fittings'!I37</f>
        <v>61.19</v>
      </c>
      <c r="R111" s="90">
        <f>'Reducing Fittings'!K37</f>
        <v>0</v>
      </c>
      <c r="S111" s="39">
        <f>'Reducing Fittings'!D37</f>
        <v>2811000980</v>
      </c>
      <c r="T111" s="39" t="str">
        <f>'Reducing Fittings'!E37</f>
        <v>20 / ¾"</v>
      </c>
      <c r="U111" s="40" t="str">
        <f>'Reducing Fittings'!F37</f>
        <v>3/8"</v>
      </c>
      <c r="V111" s="39">
        <v>1</v>
      </c>
    </row>
    <row r="112" spans="1:22" ht="14.5">
      <c r="A112" s="69"/>
      <c r="B112" s="256" t="str">
        <f>IF(ISERROR(VLOOKUP(L112,$M$6:$V$612,7,0)),"",(VLOOKUP(L112,$M$6:$V718,7,0)))</f>
        <v/>
      </c>
      <c r="C112" s="140" t="str">
        <f t="shared" si="23"/>
        <v/>
      </c>
      <c r="D112" s="141" t="str">
        <f t="shared" si="24"/>
        <v/>
      </c>
      <c r="E112" s="140" t="str">
        <f t="shared" si="25"/>
        <v/>
      </c>
      <c r="F112" s="141" t="str">
        <f t="shared" si="26"/>
        <v/>
      </c>
      <c r="G112" s="142" t="str">
        <f t="shared" si="27"/>
        <v/>
      </c>
      <c r="H112" s="143" t="str">
        <f t="shared" si="28"/>
        <v/>
      </c>
      <c r="I112" s="144" t="str">
        <f t="shared" si="29"/>
        <v/>
      </c>
      <c r="J112" s="82"/>
      <c r="L112" s="36">
        <v>107</v>
      </c>
      <c r="M112" s="39">
        <f t="shared" si="22"/>
        <v>0</v>
      </c>
      <c r="N112" s="5" t="s">
        <v>273</v>
      </c>
      <c r="O112" s="41"/>
      <c r="P112" s="39">
        <f>'Reducing Fittings'!H38</f>
        <v>0</v>
      </c>
      <c r="Q112" s="90">
        <f>'Reducing Fittings'!I38</f>
        <v>62.03</v>
      </c>
      <c r="R112" s="90">
        <f>'Reducing Fittings'!K38</f>
        <v>0</v>
      </c>
      <c r="S112" s="39">
        <f>'Reducing Fittings'!D38</f>
        <v>2811100980</v>
      </c>
      <c r="T112" s="39" t="str">
        <f>'Reducing Fittings'!E38</f>
        <v>20 / ¾"</v>
      </c>
      <c r="U112" s="40" t="str">
        <f>'Reducing Fittings'!F38</f>
        <v>1/2"</v>
      </c>
      <c r="V112" s="39">
        <v>1</v>
      </c>
    </row>
    <row r="113" spans="1:22" ht="14.5">
      <c r="A113" s="69"/>
      <c r="B113" s="256" t="str">
        <f>IF(ISERROR(VLOOKUP(L113,$M$6:$V$612,7,0)),"",(VLOOKUP(L113,$M$6:$V719,7,0)))</f>
        <v/>
      </c>
      <c r="C113" s="140" t="str">
        <f t="shared" si="23"/>
        <v/>
      </c>
      <c r="D113" s="141" t="str">
        <f t="shared" si="24"/>
        <v/>
      </c>
      <c r="E113" s="140" t="str">
        <f t="shared" si="25"/>
        <v/>
      </c>
      <c r="F113" s="141" t="str">
        <f t="shared" si="26"/>
        <v/>
      </c>
      <c r="G113" s="142" t="str">
        <f t="shared" si="27"/>
        <v/>
      </c>
      <c r="H113" s="143" t="str">
        <f t="shared" si="28"/>
        <v/>
      </c>
      <c r="I113" s="144" t="str">
        <f t="shared" si="29"/>
        <v/>
      </c>
      <c r="J113" s="82"/>
      <c r="L113" s="36">
        <v>108</v>
      </c>
      <c r="M113" s="39">
        <f t="shared" si="22"/>
        <v>0</v>
      </c>
      <c r="N113" s="5" t="s">
        <v>273</v>
      </c>
      <c r="O113" s="41"/>
      <c r="P113" s="39">
        <f>'Reducing Fittings'!H39</f>
        <v>0</v>
      </c>
      <c r="Q113" s="90">
        <f>'Reducing Fittings'!I39</f>
        <v>71.78</v>
      </c>
      <c r="R113" s="90">
        <f>'Reducing Fittings'!K39</f>
        <v>0</v>
      </c>
      <c r="S113" s="39">
        <f>'Reducing Fittings'!D39</f>
        <v>2811200980</v>
      </c>
      <c r="T113" s="39" t="str">
        <f>'Reducing Fittings'!E39</f>
        <v>25 / 1"</v>
      </c>
      <c r="U113" s="40" t="str">
        <f>'Reducing Fittings'!F39</f>
        <v>1/2"</v>
      </c>
      <c r="V113" s="39">
        <v>1</v>
      </c>
    </row>
    <row r="114" spans="1:22" ht="14.5">
      <c r="A114" s="69"/>
      <c r="B114" s="256" t="str">
        <f>IF(ISERROR(VLOOKUP(L114,$M$6:$V$612,7,0)),"",(VLOOKUP(L114,$M$6:$V720,7,0)))</f>
        <v/>
      </c>
      <c r="C114" s="140" t="str">
        <f t="shared" si="23"/>
        <v/>
      </c>
      <c r="D114" s="141" t="str">
        <f t="shared" si="24"/>
        <v/>
      </c>
      <c r="E114" s="140" t="str">
        <f t="shared" si="25"/>
        <v/>
      </c>
      <c r="F114" s="141" t="str">
        <f t="shared" si="26"/>
        <v/>
      </c>
      <c r="G114" s="142" t="str">
        <f t="shared" si="27"/>
        <v/>
      </c>
      <c r="H114" s="143" t="str">
        <f t="shared" si="28"/>
        <v/>
      </c>
      <c r="I114" s="144" t="str">
        <f t="shared" si="29"/>
        <v/>
      </c>
      <c r="J114" s="82"/>
      <c r="L114" s="36">
        <v>109</v>
      </c>
      <c r="M114" s="39">
        <f t="shared" si="22"/>
        <v>0</v>
      </c>
      <c r="N114" s="5" t="s">
        <v>273</v>
      </c>
      <c r="O114" s="41"/>
      <c r="P114" s="39">
        <f>'Reducing Fittings'!H40</f>
        <v>0</v>
      </c>
      <c r="Q114" s="90">
        <f>'Reducing Fittings'!I40</f>
        <v>68.78</v>
      </c>
      <c r="R114" s="90">
        <f>'Reducing Fittings'!K40</f>
        <v>0</v>
      </c>
      <c r="S114" s="39">
        <f>'Reducing Fittings'!D40</f>
        <v>2811210980</v>
      </c>
      <c r="T114" s="39" t="str">
        <f>'Reducing Fittings'!E40</f>
        <v>25 / 1"</v>
      </c>
      <c r="U114" s="40" t="str">
        <f>'Reducing Fittings'!F40</f>
        <v>3/4"</v>
      </c>
      <c r="V114" s="39">
        <v>1</v>
      </c>
    </row>
    <row r="115" spans="1:22" ht="14.5">
      <c r="A115" s="69"/>
      <c r="B115" s="256" t="str">
        <f>IF(ISERROR(VLOOKUP(L115,$M$6:$V$612,7,0)),"",(VLOOKUP(L115,$M$6:$V721,7,0)))</f>
        <v/>
      </c>
      <c r="C115" s="140" t="str">
        <f t="shared" si="23"/>
        <v/>
      </c>
      <c r="D115" s="141" t="str">
        <f t="shared" si="24"/>
        <v/>
      </c>
      <c r="E115" s="140" t="str">
        <f t="shared" si="25"/>
        <v/>
      </c>
      <c r="F115" s="141" t="str">
        <f t="shared" si="26"/>
        <v/>
      </c>
      <c r="G115" s="142" t="str">
        <f t="shared" si="27"/>
        <v/>
      </c>
      <c r="H115" s="143" t="str">
        <f t="shared" si="28"/>
        <v/>
      </c>
      <c r="I115" s="144" t="str">
        <f t="shared" si="29"/>
        <v/>
      </c>
      <c r="J115" s="82"/>
      <c r="L115" s="36">
        <v>110</v>
      </c>
      <c r="M115" s="39">
        <f t="shared" si="22"/>
        <v>0</v>
      </c>
      <c r="N115" s="5" t="s">
        <v>273</v>
      </c>
      <c r="O115" s="41"/>
      <c r="P115" s="39">
        <f>'Reducing Fittings'!H41</f>
        <v>0</v>
      </c>
      <c r="Q115" s="90">
        <f>'Reducing Fittings'!I41</f>
        <v>115.95</v>
      </c>
      <c r="R115" s="90">
        <f>'Reducing Fittings'!K41</f>
        <v>0</v>
      </c>
      <c r="S115" s="39">
        <f>'Reducing Fittings'!D41</f>
        <v>2811420980</v>
      </c>
      <c r="T115" s="39" t="str">
        <f>'Reducing Fittings'!E41</f>
        <v>40 / 1½"</v>
      </c>
      <c r="U115" s="40" t="str">
        <f>'Reducing Fittings'!F41</f>
        <v>1"</v>
      </c>
      <c r="V115" s="39">
        <v>1</v>
      </c>
    </row>
    <row r="116" spans="1:22" ht="14.5">
      <c r="A116" s="69"/>
      <c r="B116" s="256" t="str">
        <f>IF(ISERROR(VLOOKUP(L116,$M$6:$V$612,7,0)),"",(VLOOKUP(L116,$M$6:$V722,7,0)))</f>
        <v/>
      </c>
      <c r="C116" s="140" t="str">
        <f t="shared" si="23"/>
        <v/>
      </c>
      <c r="D116" s="141" t="str">
        <f t="shared" si="24"/>
        <v/>
      </c>
      <c r="E116" s="140" t="str">
        <f t="shared" si="25"/>
        <v/>
      </c>
      <c r="F116" s="141" t="str">
        <f t="shared" si="26"/>
        <v/>
      </c>
      <c r="G116" s="142" t="str">
        <f t="shared" si="27"/>
        <v/>
      </c>
      <c r="H116" s="143" t="str">
        <f t="shared" si="28"/>
        <v/>
      </c>
      <c r="I116" s="144" t="str">
        <f t="shared" si="29"/>
        <v/>
      </c>
      <c r="J116" s="82"/>
      <c r="L116" s="36">
        <v>111</v>
      </c>
      <c r="M116" s="39">
        <f t="shared" si="22"/>
        <v>0</v>
      </c>
      <c r="N116" s="5" t="s">
        <v>273</v>
      </c>
      <c r="O116" s="41"/>
      <c r="P116" s="39">
        <f>'Reducing Fittings'!H42</f>
        <v>0</v>
      </c>
      <c r="Q116" s="90">
        <f>'Reducing Fittings'!I42</f>
        <v>128.21</v>
      </c>
      <c r="R116" s="90">
        <f>'Reducing Fittings'!K42</f>
        <v>0</v>
      </c>
      <c r="S116" s="39">
        <f>'Reducing Fittings'!D42</f>
        <v>2811520980</v>
      </c>
      <c r="T116" s="39" t="str">
        <f>'Reducing Fittings'!E42</f>
        <v>50 / 2"</v>
      </c>
      <c r="U116" s="40" t="str">
        <f>'Reducing Fittings'!F42</f>
        <v>1"</v>
      </c>
      <c r="V116" s="39">
        <v>1</v>
      </c>
    </row>
    <row r="117" spans="1:22" ht="14.5">
      <c r="A117" s="69"/>
      <c r="B117" s="256" t="str">
        <f>IF(ISERROR(VLOOKUP(L117,$M$6:$V$612,7,0)),"",(VLOOKUP(L117,$M$6:$V723,7,0)))</f>
        <v/>
      </c>
      <c r="C117" s="140" t="str">
        <f t="shared" si="23"/>
        <v/>
      </c>
      <c r="D117" s="141" t="str">
        <f t="shared" si="24"/>
        <v/>
      </c>
      <c r="E117" s="140" t="str">
        <f t="shared" si="25"/>
        <v/>
      </c>
      <c r="F117" s="141" t="str">
        <f t="shared" si="26"/>
        <v/>
      </c>
      <c r="G117" s="142" t="str">
        <f t="shared" si="27"/>
        <v/>
      </c>
      <c r="H117" s="143" t="str">
        <f t="shared" si="28"/>
        <v/>
      </c>
      <c r="I117" s="144" t="str">
        <f t="shared" si="29"/>
        <v/>
      </c>
      <c r="J117" s="82"/>
      <c r="L117" s="36">
        <v>112</v>
      </c>
      <c r="M117" s="39">
        <f t="shared" si="22"/>
        <v>0</v>
      </c>
      <c r="N117" s="18"/>
      <c r="O117" s="41"/>
      <c r="P117" s="87">
        <f>'Reducing Fittings'!H43</f>
        <v>0</v>
      </c>
      <c r="Q117" s="94">
        <f>'Reducing Fittings'!I43</f>
        <v>0</v>
      </c>
      <c r="R117" s="94">
        <f>'Reducing Fittings'!K43</f>
        <v>0</v>
      </c>
      <c r="S117" s="87">
        <f>'Reducing Fittings'!D43</f>
        <v>0</v>
      </c>
      <c r="T117" s="87" t="str">
        <f>'Reducing Fittings'!E43</f>
        <v>Main Size</v>
      </c>
      <c r="U117" s="18" t="str">
        <f>'Reducing Fittings'!F43</f>
        <v>Reduced Size</v>
      </c>
      <c r="V117" s="87">
        <v>1</v>
      </c>
    </row>
    <row r="118" spans="1:22" ht="14.5">
      <c r="A118" s="69"/>
      <c r="B118" s="256" t="str">
        <f>IF(ISERROR(VLOOKUP(L118,$M$6:$V$612,7,0)),"",(VLOOKUP(L118,$M$6:$V724,7,0)))</f>
        <v/>
      </c>
      <c r="C118" s="140" t="str">
        <f t="shared" si="23"/>
        <v/>
      </c>
      <c r="D118" s="141" t="str">
        <f t="shared" si="24"/>
        <v/>
      </c>
      <c r="E118" s="140" t="str">
        <f t="shared" si="25"/>
        <v/>
      </c>
      <c r="F118" s="141" t="str">
        <f t="shared" si="26"/>
        <v/>
      </c>
      <c r="G118" s="142" t="str">
        <f t="shared" si="27"/>
        <v/>
      </c>
      <c r="H118" s="143" t="str">
        <f t="shared" si="28"/>
        <v/>
      </c>
      <c r="I118" s="144" t="str">
        <f t="shared" si="29"/>
        <v/>
      </c>
      <c r="J118" s="82"/>
      <c r="L118" s="36">
        <v>113</v>
      </c>
      <c r="M118" s="39">
        <f t="shared" si="22"/>
        <v>0</v>
      </c>
      <c r="N118" s="5" t="s">
        <v>273</v>
      </c>
      <c r="O118" s="41"/>
      <c r="P118" s="39">
        <f>'Reducing Fittings'!H44</f>
        <v>0</v>
      </c>
      <c r="Q118" s="90">
        <f>'Reducing Fittings'!I44</f>
        <v>134.09</v>
      </c>
      <c r="R118" s="90">
        <f>'Reducing Fittings'!K44</f>
        <v>0</v>
      </c>
      <c r="S118" s="39">
        <f>'Reducing Fittings'!D44</f>
        <v>2811650990</v>
      </c>
      <c r="T118" s="39" t="str">
        <f>'Reducing Fittings'!E44</f>
        <v>63 / 2½"</v>
      </c>
      <c r="U118" s="40" t="str">
        <f>'Reducing Fittings'!F44</f>
        <v>2"</v>
      </c>
      <c r="V118" s="39">
        <v>1</v>
      </c>
    </row>
    <row r="119" spans="1:22" ht="14.5">
      <c r="A119" s="69"/>
      <c r="B119" s="256" t="str">
        <f>IF(ISERROR(VLOOKUP(L119,$M$6:$V$612,7,0)),"",(VLOOKUP(L119,$M$6:$V725,7,0)))</f>
        <v/>
      </c>
      <c r="C119" s="140" t="str">
        <f t="shared" si="23"/>
        <v/>
      </c>
      <c r="D119" s="141" t="str">
        <f t="shared" si="24"/>
        <v/>
      </c>
      <c r="E119" s="140" t="str">
        <f t="shared" si="25"/>
        <v/>
      </c>
      <c r="F119" s="141" t="str">
        <f t="shared" si="26"/>
        <v/>
      </c>
      <c r="G119" s="142" t="str">
        <f t="shared" si="27"/>
        <v/>
      </c>
      <c r="H119" s="143" t="str">
        <f t="shared" si="28"/>
        <v/>
      </c>
      <c r="I119" s="144" t="str">
        <f t="shared" si="29"/>
        <v/>
      </c>
      <c r="J119" s="82"/>
      <c r="L119" s="36">
        <v>114</v>
      </c>
      <c r="M119" s="39">
        <f t="shared" si="22"/>
        <v>0</v>
      </c>
      <c r="N119" s="5" t="s">
        <v>273</v>
      </c>
      <c r="O119" s="41"/>
      <c r="P119" s="39">
        <f>'Reducing Fittings'!H45</f>
        <v>0</v>
      </c>
      <c r="Q119" s="90">
        <f>'Reducing Fittings'!I45</f>
        <v>287.27</v>
      </c>
      <c r="R119" s="90">
        <f>'Reducing Fittings'!K45</f>
        <v>0</v>
      </c>
      <c r="S119" s="39">
        <f>'Reducing Fittings'!D45</f>
        <v>2811760990</v>
      </c>
      <c r="T119" s="39" t="str">
        <f>'Reducing Fittings'!E45</f>
        <v>80 / 3"</v>
      </c>
      <c r="U119" s="40" t="str">
        <f>'Reducing Fittings'!F45</f>
        <v>2 1/2"</v>
      </c>
      <c r="V119" s="39">
        <v>1</v>
      </c>
    </row>
    <row r="120" spans="1:22" ht="14.5">
      <c r="A120" s="69"/>
      <c r="B120" s="256" t="str">
        <f>IF(ISERROR(VLOOKUP(L120,$M$6:$V$612,7,0)),"",(VLOOKUP(L120,$M$6:$V726,7,0)))</f>
        <v/>
      </c>
      <c r="C120" s="140" t="str">
        <f t="shared" si="23"/>
        <v/>
      </c>
      <c r="D120" s="141" t="str">
        <f t="shared" si="24"/>
        <v/>
      </c>
      <c r="E120" s="140" t="str">
        <f t="shared" si="25"/>
        <v/>
      </c>
      <c r="F120" s="141" t="str">
        <f t="shared" si="26"/>
        <v/>
      </c>
      <c r="G120" s="142" t="str">
        <f t="shared" si="27"/>
        <v/>
      </c>
      <c r="H120" s="143" t="str">
        <f t="shared" si="28"/>
        <v/>
      </c>
      <c r="I120" s="144" t="str">
        <f t="shared" si="29"/>
        <v/>
      </c>
      <c r="J120" s="82"/>
      <c r="L120" s="36">
        <v>115</v>
      </c>
      <c r="M120" s="39">
        <f t="shared" si="22"/>
        <v>0</v>
      </c>
      <c r="N120" s="5" t="s">
        <v>273</v>
      </c>
      <c r="O120" s="41"/>
      <c r="P120" s="39">
        <f>'Reducing Fittings'!H46</f>
        <v>0</v>
      </c>
      <c r="Q120" s="90">
        <f>'Reducing Fittings'!I46</f>
        <v>145.83000000000001</v>
      </c>
      <c r="R120" s="90">
        <f>'Reducing Fittings'!K46</f>
        <v>0</v>
      </c>
      <c r="S120" s="39">
        <f>'Reducing Fittings'!D46</f>
        <v>2811770990</v>
      </c>
      <c r="T120" s="39" t="str">
        <f>'Reducing Fittings'!E46</f>
        <v>80 / 3"</v>
      </c>
      <c r="U120" s="40" t="str">
        <f>'Reducing Fittings'!F46</f>
        <v>3"</v>
      </c>
      <c r="V120" s="39">
        <v>1</v>
      </c>
    </row>
    <row r="121" spans="1:22" ht="14.5">
      <c r="A121" s="69"/>
      <c r="B121" s="256" t="str">
        <f>IF(ISERROR(VLOOKUP(L121,$M$6:$V$612,7,0)),"",(VLOOKUP(L121,$M$6:$V727,7,0)))</f>
        <v/>
      </c>
      <c r="C121" s="140" t="str">
        <f t="shared" si="23"/>
        <v/>
      </c>
      <c r="D121" s="141" t="str">
        <f t="shared" si="24"/>
        <v/>
      </c>
      <c r="E121" s="140" t="str">
        <f t="shared" si="25"/>
        <v/>
      </c>
      <c r="F121" s="141" t="str">
        <f t="shared" si="26"/>
        <v/>
      </c>
      <c r="G121" s="142" t="str">
        <f t="shared" si="27"/>
        <v/>
      </c>
      <c r="H121" s="143" t="str">
        <f t="shared" si="28"/>
        <v/>
      </c>
      <c r="I121" s="144" t="str">
        <f t="shared" si="29"/>
        <v/>
      </c>
      <c r="J121" s="82"/>
      <c r="L121" s="36">
        <v>116</v>
      </c>
      <c r="M121" s="39">
        <f t="shared" si="22"/>
        <v>0</v>
      </c>
      <c r="N121" s="5" t="s">
        <v>273</v>
      </c>
      <c r="O121" s="41"/>
      <c r="P121" s="39">
        <f>'Reducing Fittings'!H47</f>
        <v>0</v>
      </c>
      <c r="Q121" s="90">
        <f>'Reducing Fittings'!I47</f>
        <v>120.37</v>
      </c>
      <c r="R121" s="90">
        <f>'Reducing Fittings'!K47</f>
        <v>0</v>
      </c>
      <c r="S121" s="39">
        <f>'Reducing Fittings'!D47</f>
        <v>2810820900</v>
      </c>
      <c r="T121" s="39" t="str">
        <f>'Reducing Fittings'!E47</f>
        <v>100 / 4"</v>
      </c>
      <c r="U121" s="40" t="str">
        <f>'Reducing Fittings'!F47</f>
        <v>1"</v>
      </c>
      <c r="V121" s="39">
        <v>1</v>
      </c>
    </row>
    <row r="122" spans="1:22" ht="14.5">
      <c r="A122" s="69"/>
      <c r="B122" s="256" t="str">
        <f>IF(ISERROR(VLOOKUP(L122,$M$6:$V$612,7,0)),"",(VLOOKUP(L122,$M$6:$V728,7,0)))</f>
        <v/>
      </c>
      <c r="C122" s="140" t="str">
        <f t="shared" si="23"/>
        <v/>
      </c>
      <c r="D122" s="141" t="str">
        <f t="shared" si="24"/>
        <v/>
      </c>
      <c r="E122" s="140" t="str">
        <f t="shared" si="25"/>
        <v/>
      </c>
      <c r="F122" s="141" t="str">
        <f t="shared" si="26"/>
        <v/>
      </c>
      <c r="G122" s="142" t="str">
        <f t="shared" si="27"/>
        <v/>
      </c>
      <c r="H122" s="143" t="str">
        <f t="shared" si="28"/>
        <v/>
      </c>
      <c r="I122" s="144" t="str">
        <f t="shared" si="29"/>
        <v/>
      </c>
      <c r="J122" s="82"/>
      <c r="L122" s="36">
        <v>117</v>
      </c>
      <c r="M122" s="39">
        <f t="shared" si="22"/>
        <v>0</v>
      </c>
      <c r="N122" s="5" t="s">
        <v>273</v>
      </c>
      <c r="O122" s="41"/>
      <c r="P122" s="39">
        <f>'Reducing Fittings'!H48</f>
        <v>0</v>
      </c>
      <c r="Q122" s="90">
        <f>'Reducing Fittings'!I48</f>
        <v>307.86</v>
      </c>
      <c r="R122" s="90">
        <f>'Reducing Fittings'!K48</f>
        <v>0</v>
      </c>
      <c r="S122" s="39">
        <f>'Reducing Fittings'!D48</f>
        <v>2810920900</v>
      </c>
      <c r="T122" s="39" t="str">
        <f>'Reducing Fittings'!E48</f>
        <v>158 / 6"</v>
      </c>
      <c r="U122" s="40" t="str">
        <f>'Reducing Fittings'!F48</f>
        <v>1"</v>
      </c>
      <c r="V122" s="39">
        <v>1</v>
      </c>
    </row>
    <row r="123" spans="1:22" ht="14.5">
      <c r="A123" s="69"/>
      <c r="B123" s="256" t="str">
        <f>IF(ISERROR(VLOOKUP(L123,$M$6:$V$612,7,0)),"",(VLOOKUP(L123,$M$6:$V729,7,0)))</f>
        <v/>
      </c>
      <c r="C123" s="140" t="str">
        <f t="shared" si="23"/>
        <v/>
      </c>
      <c r="D123" s="141" t="str">
        <f t="shared" si="24"/>
        <v/>
      </c>
      <c r="E123" s="140" t="str">
        <f t="shared" si="25"/>
        <v/>
      </c>
      <c r="F123" s="141" t="str">
        <f t="shared" si="26"/>
        <v/>
      </c>
      <c r="G123" s="142" t="str">
        <f t="shared" si="27"/>
        <v/>
      </c>
      <c r="H123" s="143" t="str">
        <f t="shared" si="28"/>
        <v/>
      </c>
      <c r="I123" s="144" t="str">
        <f t="shared" si="29"/>
        <v/>
      </c>
      <c r="J123" s="82"/>
      <c r="L123" s="36">
        <v>118</v>
      </c>
      <c r="M123" s="39">
        <f t="shared" ref="M123:M126" si="30">IF(P123&gt;0,M122+1,M122)</f>
        <v>0</v>
      </c>
      <c r="N123" s="9"/>
      <c r="O123" s="41"/>
      <c r="Q123" s="92"/>
      <c r="R123" s="92"/>
    </row>
    <row r="124" spans="1:22" ht="14.5">
      <c r="A124" s="69"/>
      <c r="B124" s="256" t="str">
        <f>IF(ISERROR(VLOOKUP(L124,$M$6:$V$612,7,0)),"",(VLOOKUP(L124,$M$6:$V730,7,0)))</f>
        <v/>
      </c>
      <c r="C124" s="140" t="str">
        <f t="shared" si="23"/>
        <v/>
      </c>
      <c r="D124" s="141" t="str">
        <f t="shared" si="24"/>
        <v/>
      </c>
      <c r="E124" s="140" t="str">
        <f t="shared" si="25"/>
        <v/>
      </c>
      <c r="F124" s="141" t="str">
        <f t="shared" si="26"/>
        <v/>
      </c>
      <c r="G124" s="142" t="str">
        <f t="shared" si="27"/>
        <v/>
      </c>
      <c r="H124" s="143" t="str">
        <f t="shared" si="28"/>
        <v/>
      </c>
      <c r="I124" s="144" t="str">
        <f t="shared" si="29"/>
        <v/>
      </c>
      <c r="J124" s="82"/>
      <c r="L124" s="36">
        <v>119</v>
      </c>
      <c r="M124" s="39">
        <f t="shared" si="30"/>
        <v>0</v>
      </c>
      <c r="N124" s="9"/>
      <c r="O124" s="41"/>
      <c r="Q124" s="92"/>
      <c r="R124" s="92"/>
    </row>
    <row r="125" spans="1:22" ht="14.5">
      <c r="A125" s="69"/>
      <c r="B125" s="256" t="str">
        <f>IF(ISERROR(VLOOKUP(L125,$M$6:$V$612,7,0)),"",(VLOOKUP(L125,$M$6:$V731,7,0)))</f>
        <v/>
      </c>
      <c r="C125" s="140" t="str">
        <f t="shared" si="23"/>
        <v/>
      </c>
      <c r="D125" s="141" t="str">
        <f t="shared" si="24"/>
        <v/>
      </c>
      <c r="E125" s="140" t="str">
        <f t="shared" si="25"/>
        <v/>
      </c>
      <c r="F125" s="141" t="str">
        <f t="shared" si="26"/>
        <v/>
      </c>
      <c r="G125" s="142" t="str">
        <f t="shared" si="27"/>
        <v/>
      </c>
      <c r="H125" s="143" t="str">
        <f t="shared" si="28"/>
        <v/>
      </c>
      <c r="I125" s="144" t="str">
        <f t="shared" si="29"/>
        <v/>
      </c>
      <c r="J125" s="82"/>
      <c r="L125" s="36">
        <v>120</v>
      </c>
      <c r="M125" s="39">
        <f t="shared" si="30"/>
        <v>0</v>
      </c>
      <c r="N125" s="5" t="s">
        <v>273</v>
      </c>
      <c r="O125" s="41"/>
      <c r="P125" s="39">
        <f>'Reducing Fittings'!H51</f>
        <v>0</v>
      </c>
      <c r="Q125" s="90">
        <f>'Reducing Fittings'!I51</f>
        <v>106.82</v>
      </c>
      <c r="R125" s="90">
        <f>'Reducing Fittings'!K51</f>
        <v>0</v>
      </c>
      <c r="S125" s="39">
        <f>'Reducing Fittings'!D51</f>
        <v>2811646280</v>
      </c>
      <c r="T125" s="39" t="str">
        <f>'Reducing Fittings'!E51</f>
        <v>63 / 2½"</v>
      </c>
      <c r="U125" s="40" t="str">
        <f>'Reducing Fittings'!F51</f>
        <v xml:space="preserve">40 / 1 1/2" </v>
      </c>
      <c r="V125" s="39">
        <v>1</v>
      </c>
    </row>
    <row r="126" spans="1:22" ht="14.5">
      <c r="A126" s="69"/>
      <c r="B126" s="256" t="str">
        <f>IF(ISERROR(VLOOKUP(L126,$M$6:$V$612,7,0)),"",(VLOOKUP(L126,$M$6:$V732,7,0)))</f>
        <v/>
      </c>
      <c r="C126" s="140" t="str">
        <f t="shared" si="23"/>
        <v/>
      </c>
      <c r="D126" s="141" t="str">
        <f t="shared" si="24"/>
        <v/>
      </c>
      <c r="E126" s="140" t="str">
        <f t="shared" si="25"/>
        <v/>
      </c>
      <c r="F126" s="141" t="str">
        <f t="shared" si="26"/>
        <v/>
      </c>
      <c r="G126" s="142" t="str">
        <f t="shared" si="27"/>
        <v/>
      </c>
      <c r="H126" s="143" t="str">
        <f t="shared" si="28"/>
        <v/>
      </c>
      <c r="I126" s="144" t="str">
        <f t="shared" si="29"/>
        <v/>
      </c>
      <c r="J126" s="82"/>
      <c r="L126" s="36">
        <v>121</v>
      </c>
      <c r="M126" s="39">
        <f t="shared" si="30"/>
        <v>0</v>
      </c>
      <c r="N126" s="5" t="s">
        <v>273</v>
      </c>
      <c r="O126" s="41"/>
      <c r="P126" s="39">
        <f>'Reducing Fittings'!H52</f>
        <v>0</v>
      </c>
      <c r="Q126" s="90">
        <f>'Reducing Fittings'!I52</f>
        <v>157.06</v>
      </c>
      <c r="R126" s="90">
        <f>'Reducing Fittings'!K52</f>
        <v>0</v>
      </c>
      <c r="S126" s="39">
        <f>'Reducing Fittings'!D52</f>
        <v>2811746280</v>
      </c>
      <c r="T126" s="39" t="str">
        <f>'Reducing Fittings'!E52</f>
        <v>80 / 3"</v>
      </c>
      <c r="U126" s="40" t="str">
        <f>'Reducing Fittings'!F52</f>
        <v>40 / 1 1/2"</v>
      </c>
      <c r="V126" s="39">
        <v>1</v>
      </c>
    </row>
    <row r="127" spans="1:22" ht="14.5">
      <c r="A127" s="69"/>
      <c r="B127" s="256" t="str">
        <f>IF(ISERROR(VLOOKUP(L127,$M$6:$V$612,7,0)),"",(VLOOKUP(L127,$M$6:$V733,7,0)))</f>
        <v/>
      </c>
      <c r="C127" s="140" t="str">
        <f t="shared" si="23"/>
        <v/>
      </c>
      <c r="D127" s="141" t="str">
        <f t="shared" si="24"/>
        <v/>
      </c>
      <c r="E127" s="140" t="str">
        <f t="shared" si="25"/>
        <v/>
      </c>
      <c r="F127" s="141" t="str">
        <f t="shared" si="26"/>
        <v/>
      </c>
      <c r="G127" s="142" t="str">
        <f t="shared" si="27"/>
        <v/>
      </c>
      <c r="H127" s="143" t="str">
        <f t="shared" si="28"/>
        <v/>
      </c>
      <c r="I127" s="144" t="str">
        <f t="shared" si="29"/>
        <v/>
      </c>
      <c r="J127" s="82"/>
      <c r="L127" s="36">
        <v>122</v>
      </c>
      <c r="M127" s="39">
        <f t="shared" ref="M127:M129" si="31">IF(P127&gt;0,M126+1,M126)</f>
        <v>0</v>
      </c>
      <c r="N127" s="5" t="s">
        <v>273</v>
      </c>
      <c r="O127" s="41"/>
      <c r="P127" s="39">
        <f>'Reducing Fittings'!H53</f>
        <v>0</v>
      </c>
      <c r="Q127" s="90">
        <f>'Reducing Fittings'!I53</f>
        <v>185.47</v>
      </c>
      <c r="R127" s="90">
        <f>'Reducing Fittings'!K53</f>
        <v>0</v>
      </c>
      <c r="S127" s="39">
        <f>'Reducing Fittings'!D53</f>
        <v>2811756280</v>
      </c>
      <c r="T127" s="39" t="str">
        <f>'Reducing Fittings'!E53</f>
        <v>80 / 3"</v>
      </c>
      <c r="U127" s="40" t="str">
        <f>'Reducing Fittings'!F53</f>
        <v>50 / 2"</v>
      </c>
      <c r="V127" s="39">
        <v>1</v>
      </c>
    </row>
    <row r="128" spans="1:22" ht="14.5">
      <c r="A128" s="69"/>
      <c r="B128" s="256" t="str">
        <f>IF(ISERROR(VLOOKUP(L128,$M$6:$V$612,7,0)),"",(VLOOKUP(L128,$M$6:$V734,7,0)))</f>
        <v/>
      </c>
      <c r="C128" s="140" t="str">
        <f t="shared" si="23"/>
        <v/>
      </c>
      <c r="D128" s="141" t="str">
        <f t="shared" si="24"/>
        <v/>
      </c>
      <c r="E128" s="140" t="str">
        <f t="shared" si="25"/>
        <v/>
      </c>
      <c r="F128" s="141" t="str">
        <f t="shared" si="26"/>
        <v/>
      </c>
      <c r="G128" s="142" t="str">
        <f t="shared" si="27"/>
        <v/>
      </c>
      <c r="H128" s="143" t="str">
        <f t="shared" si="28"/>
        <v/>
      </c>
      <c r="I128" s="144" t="str">
        <f t="shared" si="29"/>
        <v/>
      </c>
      <c r="J128" s="82"/>
      <c r="L128" s="36">
        <v>123</v>
      </c>
      <c r="M128" s="39">
        <f t="shared" si="31"/>
        <v>0</v>
      </c>
      <c r="N128" s="9"/>
      <c r="O128" s="41"/>
      <c r="Q128" s="92"/>
      <c r="R128" s="92"/>
    </row>
    <row r="129" spans="1:22" ht="14.5">
      <c r="A129" s="69"/>
      <c r="B129" s="256" t="str">
        <f>IF(ISERROR(VLOOKUP(L129,$M$6:$V$612,7,0)),"",(VLOOKUP(L129,$M$6:$V735,7,0)))</f>
        <v/>
      </c>
      <c r="C129" s="140" t="str">
        <f t="shared" si="23"/>
        <v/>
      </c>
      <c r="D129" s="141" t="str">
        <f t="shared" si="24"/>
        <v/>
      </c>
      <c r="E129" s="140" t="str">
        <f t="shared" si="25"/>
        <v/>
      </c>
      <c r="F129" s="141" t="str">
        <f t="shared" si="26"/>
        <v/>
      </c>
      <c r="G129" s="142" t="str">
        <f t="shared" si="27"/>
        <v/>
      </c>
      <c r="H129" s="143" t="str">
        <f t="shared" si="28"/>
        <v/>
      </c>
      <c r="I129" s="144" t="str">
        <f t="shared" si="29"/>
        <v/>
      </c>
      <c r="J129" s="82"/>
      <c r="L129" s="36">
        <v>124</v>
      </c>
      <c r="M129" s="39">
        <f t="shared" si="31"/>
        <v>0</v>
      </c>
      <c r="O129" s="41"/>
      <c r="Q129" s="92"/>
      <c r="R129" s="92"/>
    </row>
    <row r="130" spans="1:22" ht="14.5">
      <c r="A130" s="69"/>
      <c r="B130" s="256" t="str">
        <f>IF(ISERROR(VLOOKUP(L130,$M$6:$V$612,7,0)),"",(VLOOKUP(L130,$M$6:$V736,7,0)))</f>
        <v/>
      </c>
      <c r="C130" s="140" t="str">
        <f t="shared" si="23"/>
        <v/>
      </c>
      <c r="D130" s="141" t="str">
        <f t="shared" si="24"/>
        <v/>
      </c>
      <c r="E130" s="140" t="str">
        <f t="shared" si="25"/>
        <v/>
      </c>
      <c r="F130" s="141" t="str">
        <f t="shared" si="26"/>
        <v/>
      </c>
      <c r="G130" s="142" t="str">
        <f t="shared" si="27"/>
        <v/>
      </c>
      <c r="H130" s="143" t="str">
        <f t="shared" si="28"/>
        <v/>
      </c>
      <c r="I130" s="144" t="str">
        <f t="shared" si="29"/>
        <v/>
      </c>
      <c r="J130" s="82"/>
      <c r="L130" s="36">
        <v>125</v>
      </c>
      <c r="M130" s="39">
        <f t="shared" si="22"/>
        <v>0</v>
      </c>
      <c r="N130" s="40" t="s">
        <v>30</v>
      </c>
      <c r="O130" s="41"/>
      <c r="P130" s="39">
        <f>QDrops!H4</f>
        <v>0</v>
      </c>
      <c r="Q130" s="95">
        <f>QDrops!I4</f>
        <v>26.73</v>
      </c>
      <c r="R130" s="95">
        <f>QDrops!K4</f>
        <v>0</v>
      </c>
      <c r="S130" s="39">
        <f>QDrops!D4</f>
        <v>2811211080</v>
      </c>
      <c r="T130" s="39" t="str">
        <f>QDrops!E4</f>
        <v>25 / 1"</v>
      </c>
      <c r="U130" s="40" t="str">
        <f>QDrops!F4</f>
        <v>20 / ¾"</v>
      </c>
      <c r="V130" s="39">
        <v>1</v>
      </c>
    </row>
    <row r="131" spans="1:22" ht="14.5">
      <c r="A131" s="69"/>
      <c r="B131" s="256" t="str">
        <f>IF(ISERROR(VLOOKUP(L131,$M$6:$V$612,7,0)),"",(VLOOKUP(L131,$M$6:$V737,7,0)))</f>
        <v/>
      </c>
      <c r="C131" s="140" t="str">
        <f t="shared" si="23"/>
        <v/>
      </c>
      <c r="D131" s="141" t="str">
        <f t="shared" si="24"/>
        <v/>
      </c>
      <c r="E131" s="140" t="str">
        <f t="shared" si="25"/>
        <v/>
      </c>
      <c r="F131" s="141" t="str">
        <f t="shared" si="26"/>
        <v/>
      </c>
      <c r="G131" s="142" t="str">
        <f t="shared" si="27"/>
        <v/>
      </c>
      <c r="H131" s="143" t="str">
        <f t="shared" si="28"/>
        <v/>
      </c>
      <c r="I131" s="144" t="str">
        <f t="shared" si="29"/>
        <v/>
      </c>
      <c r="J131" s="82"/>
      <c r="L131" s="36">
        <v>126</v>
      </c>
      <c r="M131" s="39">
        <f t="shared" si="22"/>
        <v>0</v>
      </c>
      <c r="N131" s="40" t="s">
        <v>30</v>
      </c>
      <c r="O131" s="41"/>
      <c r="P131" s="39">
        <f>QDrops!H5</f>
        <v>0</v>
      </c>
      <c r="Q131" s="95">
        <f>QDrops!I5</f>
        <v>37.630000000000003</v>
      </c>
      <c r="R131" s="95">
        <f>QDrops!K5</f>
        <v>0</v>
      </c>
      <c r="S131" s="39">
        <f>QDrops!D5</f>
        <v>2811411080</v>
      </c>
      <c r="T131" s="39" t="str">
        <f>QDrops!E5</f>
        <v>40 / 1½"</v>
      </c>
      <c r="U131" s="40" t="str">
        <f>QDrops!F5</f>
        <v>20 / ¾"</v>
      </c>
      <c r="V131" s="39">
        <v>1</v>
      </c>
    </row>
    <row r="132" spans="1:22" ht="14.5">
      <c r="A132" s="69"/>
      <c r="B132" s="256" t="str">
        <f>IF(ISERROR(VLOOKUP(L132,$M$6:$V$612,7,0)),"",(VLOOKUP(L132,$M$6:$V738,7,0)))</f>
        <v/>
      </c>
      <c r="C132" s="140" t="str">
        <f t="shared" si="23"/>
        <v/>
      </c>
      <c r="D132" s="141" t="str">
        <f t="shared" si="24"/>
        <v/>
      </c>
      <c r="E132" s="140" t="str">
        <f t="shared" si="25"/>
        <v/>
      </c>
      <c r="F132" s="141" t="str">
        <f t="shared" si="26"/>
        <v/>
      </c>
      <c r="G132" s="142" t="str">
        <f t="shared" si="27"/>
        <v/>
      </c>
      <c r="H132" s="143" t="str">
        <f t="shared" si="28"/>
        <v/>
      </c>
      <c r="I132" s="144" t="str">
        <f t="shared" si="29"/>
        <v/>
      </c>
      <c r="J132" s="82"/>
      <c r="L132" s="36">
        <v>127</v>
      </c>
      <c r="M132" s="39">
        <f t="shared" si="22"/>
        <v>0</v>
      </c>
      <c r="N132" s="40" t="s">
        <v>30</v>
      </c>
      <c r="O132" s="41"/>
      <c r="P132" s="39">
        <f>QDrops!H6</f>
        <v>0</v>
      </c>
      <c r="Q132" s="95">
        <f>QDrops!I6</f>
        <v>37.659999999999997</v>
      </c>
      <c r="R132" s="95">
        <f>QDrops!K6</f>
        <v>0</v>
      </c>
      <c r="S132" s="39">
        <f>QDrops!D6</f>
        <v>2811421080</v>
      </c>
      <c r="T132" s="39" t="str">
        <f>QDrops!E6</f>
        <v>40 / 1½"</v>
      </c>
      <c r="U132" s="40" t="str">
        <f>QDrops!F6</f>
        <v>25 / 1"</v>
      </c>
      <c r="V132" s="39">
        <v>1</v>
      </c>
    </row>
    <row r="133" spans="1:22" ht="14.5">
      <c r="A133" s="69"/>
      <c r="B133" s="256" t="str">
        <f>IF(ISERROR(VLOOKUP(L133,$M$6:$V$612,7,0)),"",(VLOOKUP(L133,$M$6:$V739,7,0)))</f>
        <v/>
      </c>
      <c r="C133" s="140" t="str">
        <f t="shared" si="23"/>
        <v/>
      </c>
      <c r="D133" s="141" t="str">
        <f t="shared" si="24"/>
        <v/>
      </c>
      <c r="E133" s="140" t="str">
        <f t="shared" si="25"/>
        <v/>
      </c>
      <c r="F133" s="141" t="str">
        <f t="shared" si="26"/>
        <v/>
      </c>
      <c r="G133" s="142" t="str">
        <f t="shared" si="27"/>
        <v/>
      </c>
      <c r="H133" s="143" t="str">
        <f t="shared" si="28"/>
        <v/>
      </c>
      <c r="I133" s="144" t="str">
        <f t="shared" si="29"/>
        <v/>
      </c>
      <c r="J133" s="82"/>
      <c r="L133" s="36">
        <v>128</v>
      </c>
      <c r="M133" s="39">
        <f t="shared" si="22"/>
        <v>0</v>
      </c>
      <c r="N133" s="40" t="s">
        <v>30</v>
      </c>
      <c r="O133" s="41"/>
      <c r="P133" s="39">
        <f>QDrops!H7</f>
        <v>0</v>
      </c>
      <c r="Q133" s="95">
        <f>QDrops!I7</f>
        <v>51.12</v>
      </c>
      <c r="R133" s="95">
        <f>QDrops!K7</f>
        <v>0</v>
      </c>
      <c r="S133" s="39">
        <f>QDrops!D7</f>
        <v>2811511080</v>
      </c>
      <c r="T133" s="39" t="str">
        <f>QDrops!E7</f>
        <v>50 / 2"</v>
      </c>
      <c r="U133" s="40" t="str">
        <f>QDrops!F7</f>
        <v>20 / ¾"</v>
      </c>
      <c r="V133" s="39">
        <v>1</v>
      </c>
    </row>
    <row r="134" spans="1:22" ht="14.5">
      <c r="A134" s="69"/>
      <c r="B134" s="256" t="str">
        <f>IF(ISERROR(VLOOKUP(L134,$M$6:$V$612,7,0)),"",(VLOOKUP(L134,$M$6:$V740,7,0)))</f>
        <v/>
      </c>
      <c r="C134" s="140" t="str">
        <f t="shared" ref="C134:C159" si="32">IF(ISERROR(VLOOKUP(L134,$M$6:$V$612,2,0)),"",(VLOOKUP(L134,$M$6:$V$612,2,0)))</f>
        <v/>
      </c>
      <c r="D134" s="141" t="str">
        <f t="shared" ref="D134:D159" si="33">IF(ISERROR(VLOOKUP(L134,$M$6:$V$612,8,0)),"",(VLOOKUP(L134,$M$6:$V$612,8,0)))</f>
        <v/>
      </c>
      <c r="E134" s="140" t="str">
        <f t="shared" ref="E134:E159" si="34">IF(ISERROR(VLOOKUP(L134,$M$6:$V$612,9,FALSE)),"",(VLOOKUP(L134,$M$6:$V$612,9,0)))</f>
        <v/>
      </c>
      <c r="F134" s="141" t="str">
        <f t="shared" ref="F134:F159" si="35">IF(ISERROR(VLOOKUP(L134,$M$6:$V$612,10,0)),"",(VLOOKUP(L134,$M$6:$V$612,10,0)))</f>
        <v/>
      </c>
      <c r="G134" s="142" t="str">
        <f t="shared" ref="G134:G159" si="36">IF(ISERROR(VLOOKUP(L134,$M$6:$V$612,5,0)),"",(VLOOKUP(L134,$M$6:$V$612,5,0)))</f>
        <v/>
      </c>
      <c r="H134" s="143" t="str">
        <f t="shared" ref="H134:H159" si="37">IF(ISERROR(VLOOKUP(L134,$M$6:$V$612,4,0)),"",(VLOOKUP(L134,$M$6:$V$612,4,0)))</f>
        <v/>
      </c>
      <c r="I134" s="144" t="str">
        <f t="shared" ref="I134:I159" si="38">IF(ISERROR(VLOOKUP(L134,$M$6:$V$612,6,0)),"",(VLOOKUP(L134,$M$6:$V$612,6,0)))</f>
        <v/>
      </c>
      <c r="J134" s="82"/>
      <c r="L134" s="36">
        <v>129</v>
      </c>
      <c r="M134" s="39">
        <f t="shared" si="22"/>
        <v>0</v>
      </c>
      <c r="N134" s="40" t="s">
        <v>30</v>
      </c>
      <c r="O134" s="41"/>
      <c r="P134" s="39">
        <f>QDrops!H8</f>
        <v>0</v>
      </c>
      <c r="Q134" s="95">
        <f>QDrops!I8</f>
        <v>53.77</v>
      </c>
      <c r="R134" s="95">
        <f>QDrops!K8</f>
        <v>0</v>
      </c>
      <c r="S134" s="39">
        <f>QDrops!D8</f>
        <v>2811521080</v>
      </c>
      <c r="T134" s="39" t="str">
        <f>QDrops!E8</f>
        <v>50 / 2"</v>
      </c>
      <c r="U134" s="40" t="str">
        <f>QDrops!F8</f>
        <v>25 / 1"</v>
      </c>
      <c r="V134" s="39">
        <v>1</v>
      </c>
    </row>
    <row r="135" spans="1:22" ht="14.5">
      <c r="A135" s="69"/>
      <c r="B135" s="256" t="str">
        <f>IF(ISERROR(VLOOKUP(L135,$M$6:$V$612,7,0)),"",(VLOOKUP(L135,$M$6:$V741,7,0)))</f>
        <v/>
      </c>
      <c r="C135" s="140" t="str">
        <f t="shared" si="32"/>
        <v/>
      </c>
      <c r="D135" s="141" t="str">
        <f t="shared" si="33"/>
        <v/>
      </c>
      <c r="E135" s="140" t="str">
        <f t="shared" si="34"/>
        <v/>
      </c>
      <c r="F135" s="141" t="str">
        <f t="shared" si="35"/>
        <v/>
      </c>
      <c r="G135" s="142" t="str">
        <f t="shared" si="36"/>
        <v/>
      </c>
      <c r="H135" s="143" t="str">
        <f t="shared" si="37"/>
        <v/>
      </c>
      <c r="I135" s="144" t="str">
        <f t="shared" si="38"/>
        <v/>
      </c>
      <c r="J135" s="82"/>
      <c r="L135" s="36">
        <v>130</v>
      </c>
      <c r="M135" s="39">
        <f t="shared" si="22"/>
        <v>0</v>
      </c>
      <c r="N135" s="40" t="s">
        <v>30</v>
      </c>
      <c r="O135" s="41"/>
      <c r="P135" s="39">
        <f>QDrops!H9</f>
        <v>0</v>
      </c>
      <c r="Q135" s="95">
        <f>QDrops!I9</f>
        <v>64.36</v>
      </c>
      <c r="R135" s="95">
        <f>QDrops!K9</f>
        <v>0</v>
      </c>
      <c r="S135" s="39">
        <f>QDrops!D9</f>
        <v>2811611080</v>
      </c>
      <c r="T135" s="39" t="str">
        <f>QDrops!E9</f>
        <v>63 / 2½"</v>
      </c>
      <c r="U135" s="40" t="str">
        <f>QDrops!F9</f>
        <v>20 / ¾"</v>
      </c>
      <c r="V135" s="39">
        <v>1</v>
      </c>
    </row>
    <row r="136" spans="1:22" ht="14.5">
      <c r="A136" s="69"/>
      <c r="B136" s="256" t="str">
        <f>IF(ISERROR(VLOOKUP(L136,$M$6:$V$612,7,0)),"",(VLOOKUP(L136,$M$6:$V742,7,0)))</f>
        <v/>
      </c>
      <c r="C136" s="140" t="str">
        <f t="shared" si="32"/>
        <v/>
      </c>
      <c r="D136" s="141" t="str">
        <f t="shared" si="33"/>
        <v/>
      </c>
      <c r="E136" s="140" t="str">
        <f t="shared" si="34"/>
        <v/>
      </c>
      <c r="F136" s="141" t="str">
        <f t="shared" si="35"/>
        <v/>
      </c>
      <c r="G136" s="142" t="str">
        <f t="shared" si="36"/>
        <v/>
      </c>
      <c r="H136" s="143" t="str">
        <f t="shared" si="37"/>
        <v/>
      </c>
      <c r="I136" s="144" t="str">
        <f t="shared" si="38"/>
        <v/>
      </c>
      <c r="J136" s="82"/>
      <c r="L136" s="36">
        <v>131</v>
      </c>
      <c r="M136" s="39">
        <f t="shared" si="22"/>
        <v>0</v>
      </c>
      <c r="N136" s="40" t="s">
        <v>30</v>
      </c>
      <c r="O136" s="41"/>
      <c r="P136" s="39">
        <f>QDrops!H10</f>
        <v>0</v>
      </c>
      <c r="Q136" s="95">
        <f>QDrops!I10</f>
        <v>64.37</v>
      </c>
      <c r="R136" s="95">
        <f>QDrops!K10</f>
        <v>0</v>
      </c>
      <c r="S136" s="39">
        <f>QDrops!D10</f>
        <v>2811621080</v>
      </c>
      <c r="T136" s="39" t="str">
        <f>QDrops!E10</f>
        <v>63 / 2½"</v>
      </c>
      <c r="U136" s="40" t="str">
        <f>QDrops!F10</f>
        <v>25 / 1"</v>
      </c>
      <c r="V136" s="39">
        <v>1</v>
      </c>
    </row>
    <row r="137" spans="1:22" ht="14.5">
      <c r="A137" s="69"/>
      <c r="B137" s="256" t="str">
        <f>IF(ISERROR(VLOOKUP(L137,$M$6:$V$612,7,0)),"",(VLOOKUP(L137,$M$6:$V743,7,0)))</f>
        <v/>
      </c>
      <c r="C137" s="140" t="str">
        <f t="shared" si="32"/>
        <v/>
      </c>
      <c r="D137" s="141" t="str">
        <f t="shared" si="33"/>
        <v/>
      </c>
      <c r="E137" s="140" t="str">
        <f t="shared" si="34"/>
        <v/>
      </c>
      <c r="F137" s="141" t="str">
        <f t="shared" si="35"/>
        <v/>
      </c>
      <c r="G137" s="142" t="str">
        <f t="shared" si="36"/>
        <v/>
      </c>
      <c r="H137" s="143" t="str">
        <f t="shared" si="37"/>
        <v/>
      </c>
      <c r="I137" s="144" t="str">
        <f t="shared" si="38"/>
        <v/>
      </c>
      <c r="J137" s="82"/>
      <c r="L137" s="36">
        <v>132</v>
      </c>
      <c r="M137" s="39">
        <f t="shared" si="22"/>
        <v>0</v>
      </c>
      <c r="N137" s="40" t="s">
        <v>30</v>
      </c>
      <c r="O137" s="41"/>
      <c r="P137" s="39">
        <f>QDrops!H11</f>
        <v>0</v>
      </c>
      <c r="Q137" s="95">
        <f>QDrops!I11</f>
        <v>93.84</v>
      </c>
      <c r="R137" s="95">
        <f>QDrops!K11</f>
        <v>0</v>
      </c>
      <c r="S137" s="39">
        <f>QDrops!D11</f>
        <v>2811711080</v>
      </c>
      <c r="T137" s="39" t="str">
        <f>QDrops!E11</f>
        <v>80 / 3"</v>
      </c>
      <c r="U137" s="40" t="str">
        <f>QDrops!F11</f>
        <v>20 / ¾"</v>
      </c>
      <c r="V137" s="39">
        <v>1</v>
      </c>
    </row>
    <row r="138" spans="1:22" ht="14.5">
      <c r="A138" s="69"/>
      <c r="B138" s="256" t="str">
        <f>IF(ISERROR(VLOOKUP(L138,$M$6:$V$612,7,0)),"",(VLOOKUP(L138,$M$6:$V744,7,0)))</f>
        <v/>
      </c>
      <c r="C138" s="140" t="str">
        <f t="shared" si="32"/>
        <v/>
      </c>
      <c r="D138" s="141" t="str">
        <f t="shared" si="33"/>
        <v/>
      </c>
      <c r="E138" s="140" t="str">
        <f t="shared" si="34"/>
        <v/>
      </c>
      <c r="F138" s="141" t="str">
        <f t="shared" si="35"/>
        <v/>
      </c>
      <c r="G138" s="142" t="str">
        <f t="shared" si="36"/>
        <v/>
      </c>
      <c r="H138" s="143" t="str">
        <f t="shared" si="37"/>
        <v/>
      </c>
      <c r="I138" s="144" t="str">
        <f t="shared" si="38"/>
        <v/>
      </c>
      <c r="J138" s="82"/>
      <c r="L138" s="36">
        <v>133</v>
      </c>
      <c r="M138" s="39">
        <f t="shared" si="22"/>
        <v>0</v>
      </c>
      <c r="N138" s="40" t="s">
        <v>30</v>
      </c>
      <c r="O138" s="41"/>
      <c r="P138" s="39">
        <f>QDrops!H12</f>
        <v>0</v>
      </c>
      <c r="Q138" s="95">
        <f>QDrops!I12</f>
        <v>95.97</v>
      </c>
      <c r="R138" s="95">
        <f>QDrops!K12</f>
        <v>0</v>
      </c>
      <c r="S138" s="39">
        <f>QDrops!D12</f>
        <v>2811721080</v>
      </c>
      <c r="T138" s="39" t="str">
        <f>QDrops!E12</f>
        <v>80 / 3"</v>
      </c>
      <c r="U138" s="40" t="str">
        <f>QDrops!F12</f>
        <v>25 / 1"</v>
      </c>
      <c r="V138" s="39">
        <v>1</v>
      </c>
    </row>
    <row r="139" spans="1:22" ht="14.5">
      <c r="A139" s="69"/>
      <c r="B139" s="256" t="str">
        <f>IF(ISERROR(VLOOKUP(L139,$M$6:$V$612,7,0)),"",(VLOOKUP(L139,$M$6:$V745,7,0)))</f>
        <v/>
      </c>
      <c r="C139" s="140" t="str">
        <f t="shared" si="32"/>
        <v/>
      </c>
      <c r="D139" s="141" t="str">
        <f t="shared" si="33"/>
        <v/>
      </c>
      <c r="E139" s="140" t="str">
        <f t="shared" si="34"/>
        <v/>
      </c>
      <c r="F139" s="141" t="str">
        <f t="shared" si="35"/>
        <v/>
      </c>
      <c r="G139" s="142" t="str">
        <f t="shared" si="36"/>
        <v/>
      </c>
      <c r="H139" s="143" t="str">
        <f t="shared" si="37"/>
        <v/>
      </c>
      <c r="I139" s="144" t="str">
        <f t="shared" si="38"/>
        <v/>
      </c>
      <c r="J139" s="82"/>
      <c r="L139" s="36">
        <v>134</v>
      </c>
      <c r="M139" s="39">
        <f t="shared" si="22"/>
        <v>0</v>
      </c>
      <c r="O139" s="41"/>
      <c r="Q139" s="101"/>
      <c r="R139" s="101"/>
    </row>
    <row r="140" spans="1:22" ht="14.5">
      <c r="A140" s="69"/>
      <c r="B140" s="256" t="str">
        <f>IF(ISERROR(VLOOKUP(L140,$M$6:$V$612,7,0)),"",(VLOOKUP(L140,$M$6:$V746,7,0)))</f>
        <v/>
      </c>
      <c r="C140" s="140" t="str">
        <f t="shared" si="32"/>
        <v/>
      </c>
      <c r="D140" s="141" t="str">
        <f t="shared" si="33"/>
        <v/>
      </c>
      <c r="E140" s="140" t="str">
        <f t="shared" si="34"/>
        <v/>
      </c>
      <c r="F140" s="141" t="str">
        <f t="shared" si="35"/>
        <v/>
      </c>
      <c r="G140" s="142" t="str">
        <f t="shared" si="36"/>
        <v/>
      </c>
      <c r="H140" s="143" t="str">
        <f t="shared" si="37"/>
        <v/>
      </c>
      <c r="I140" s="144" t="str">
        <f t="shared" si="38"/>
        <v/>
      </c>
      <c r="J140" s="82"/>
      <c r="L140" s="36">
        <v>135</v>
      </c>
      <c r="M140" s="39">
        <f t="shared" ref="M140:M150" si="39">IF(P140&gt;0,M139+1,M139)</f>
        <v>0</v>
      </c>
      <c r="N140" s="40" t="s">
        <v>30</v>
      </c>
      <c r="O140" s="41"/>
      <c r="P140" s="39">
        <f>QDrops!H14</f>
        <v>0</v>
      </c>
      <c r="Q140" s="95">
        <f>QDrops!I14</f>
        <v>132.94</v>
      </c>
      <c r="R140" s="95">
        <f>QDrops!K14</f>
        <v>0</v>
      </c>
      <c r="S140" s="39">
        <f>QDrops!D14</f>
        <v>2811811080</v>
      </c>
      <c r="T140" s="39" t="str">
        <f>QDrops!E14</f>
        <v>100 / 4"</v>
      </c>
      <c r="U140" s="40" t="str">
        <f>QDrops!F14</f>
        <v>20 / ¾"</v>
      </c>
      <c r="V140" s="39">
        <v>1</v>
      </c>
    </row>
    <row r="141" spans="1:22" ht="14.5">
      <c r="A141" s="69"/>
      <c r="B141" s="256" t="str">
        <f>IF(ISERROR(VLOOKUP(L141,$M$6:$V$612,7,0)),"",(VLOOKUP(L141,$M$6:$V747,7,0)))</f>
        <v/>
      </c>
      <c r="C141" s="140" t="str">
        <f t="shared" si="32"/>
        <v/>
      </c>
      <c r="D141" s="141" t="str">
        <f t="shared" si="33"/>
        <v/>
      </c>
      <c r="E141" s="140" t="str">
        <f t="shared" si="34"/>
        <v/>
      </c>
      <c r="F141" s="141" t="str">
        <f t="shared" si="35"/>
        <v/>
      </c>
      <c r="G141" s="142" t="str">
        <f t="shared" si="36"/>
        <v/>
      </c>
      <c r="H141" s="143" t="str">
        <f t="shared" si="37"/>
        <v/>
      </c>
      <c r="I141" s="144" t="str">
        <f t="shared" si="38"/>
        <v/>
      </c>
      <c r="J141" s="82"/>
      <c r="L141" s="36">
        <v>136</v>
      </c>
      <c r="M141" s="39">
        <f t="shared" si="39"/>
        <v>0</v>
      </c>
      <c r="N141" s="40" t="s">
        <v>30</v>
      </c>
      <c r="O141" s="41"/>
      <c r="P141" s="39">
        <f>QDrops!H15</f>
        <v>0</v>
      </c>
      <c r="Q141" s="95">
        <f>QDrops!I15</f>
        <v>146.24</v>
      </c>
      <c r="R141" s="95">
        <f>QDrops!K15</f>
        <v>0</v>
      </c>
      <c r="S141" s="39">
        <f>QDrops!D15</f>
        <v>2811821080</v>
      </c>
      <c r="T141" s="39" t="str">
        <f>QDrops!E15</f>
        <v>100 / 4"</v>
      </c>
      <c r="U141" s="40" t="str">
        <f>QDrops!F15</f>
        <v>25 / 1"</v>
      </c>
      <c r="V141" s="39">
        <v>1</v>
      </c>
    </row>
    <row r="142" spans="1:22" ht="14.5">
      <c r="A142" s="69"/>
      <c r="B142" s="256" t="str">
        <f>IF(ISERROR(VLOOKUP(L142,$M$6:$V$612,7,0)),"",(VLOOKUP(L142,$M$6:$V748,7,0)))</f>
        <v/>
      </c>
      <c r="C142" s="140" t="str">
        <f t="shared" si="32"/>
        <v/>
      </c>
      <c r="D142" s="141" t="str">
        <f t="shared" si="33"/>
        <v/>
      </c>
      <c r="E142" s="140" t="str">
        <f t="shared" si="34"/>
        <v/>
      </c>
      <c r="F142" s="141" t="str">
        <f t="shared" si="35"/>
        <v/>
      </c>
      <c r="G142" s="142" t="str">
        <f t="shared" si="36"/>
        <v/>
      </c>
      <c r="H142" s="143" t="str">
        <f t="shared" si="37"/>
        <v/>
      </c>
      <c r="I142" s="144" t="str">
        <f t="shared" si="38"/>
        <v/>
      </c>
      <c r="J142" s="82"/>
      <c r="L142" s="36">
        <v>137</v>
      </c>
      <c r="M142" s="39">
        <f t="shared" si="39"/>
        <v>0</v>
      </c>
      <c r="N142" s="40" t="s">
        <v>30</v>
      </c>
      <c r="O142" s="41"/>
      <c r="P142" s="39">
        <f>QDrops!H16</f>
        <v>0</v>
      </c>
      <c r="Q142" s="95">
        <f>QDrops!I16</f>
        <v>160.85</v>
      </c>
      <c r="R142" s="95">
        <f>QDrops!K16</f>
        <v>0</v>
      </c>
      <c r="S142" s="39">
        <f>QDrops!D16</f>
        <v>2811841080</v>
      </c>
      <c r="T142" s="39" t="str">
        <f>QDrops!E16</f>
        <v>100 / 4"</v>
      </c>
      <c r="U142" s="40" t="str">
        <f>QDrops!F16</f>
        <v>40 /1 1/2"</v>
      </c>
      <c r="V142" s="39">
        <v>1</v>
      </c>
    </row>
    <row r="143" spans="1:22" ht="14.5">
      <c r="A143" s="69"/>
      <c r="B143" s="256" t="str">
        <f>IF(ISERROR(VLOOKUP(L143,$M$6:$V$612,7,0)),"",(VLOOKUP(L143,$M$6:$V749,7,0)))</f>
        <v/>
      </c>
      <c r="C143" s="140" t="str">
        <f t="shared" si="32"/>
        <v/>
      </c>
      <c r="D143" s="141" t="str">
        <f t="shared" si="33"/>
        <v/>
      </c>
      <c r="E143" s="140" t="str">
        <f t="shared" si="34"/>
        <v/>
      </c>
      <c r="F143" s="141" t="str">
        <f t="shared" si="35"/>
        <v/>
      </c>
      <c r="G143" s="142" t="str">
        <f t="shared" si="36"/>
        <v/>
      </c>
      <c r="H143" s="143" t="str">
        <f t="shared" si="37"/>
        <v/>
      </c>
      <c r="I143" s="144" t="str">
        <f t="shared" si="38"/>
        <v/>
      </c>
      <c r="J143" s="82"/>
      <c r="L143" s="36">
        <v>138</v>
      </c>
      <c r="M143" s="39">
        <f t="shared" si="39"/>
        <v>0</v>
      </c>
      <c r="N143" s="40" t="s">
        <v>30</v>
      </c>
      <c r="O143" s="41"/>
      <c r="P143" s="39">
        <f>QDrops!H17</f>
        <v>0</v>
      </c>
      <c r="Q143" s="95">
        <f>QDrops!I17</f>
        <v>176.96</v>
      </c>
      <c r="R143" s="95">
        <f>QDrops!K17</f>
        <v>0</v>
      </c>
      <c r="S143" s="39">
        <f>QDrops!D17</f>
        <v>2811851080</v>
      </c>
      <c r="T143" s="39" t="str">
        <f>QDrops!E17</f>
        <v>100 / 4"</v>
      </c>
      <c r="U143" s="40" t="str">
        <f>QDrops!F17</f>
        <v>50 / 2"</v>
      </c>
      <c r="V143" s="39">
        <v>1</v>
      </c>
    </row>
    <row r="144" spans="1:22" ht="14.5">
      <c r="A144" s="69"/>
      <c r="B144" s="256" t="str">
        <f>IF(ISERROR(VLOOKUP(L144,$M$6:$V$612,7,0)),"",(VLOOKUP(L144,$M$6:$V750,7,0)))</f>
        <v/>
      </c>
      <c r="C144" s="140" t="str">
        <f t="shared" si="32"/>
        <v/>
      </c>
      <c r="D144" s="141" t="str">
        <f t="shared" si="33"/>
        <v/>
      </c>
      <c r="E144" s="140" t="str">
        <f t="shared" si="34"/>
        <v/>
      </c>
      <c r="F144" s="141" t="str">
        <f t="shared" si="35"/>
        <v/>
      </c>
      <c r="G144" s="142" t="str">
        <f t="shared" si="36"/>
        <v/>
      </c>
      <c r="H144" s="143" t="str">
        <f t="shared" si="37"/>
        <v/>
      </c>
      <c r="I144" s="144" t="str">
        <f t="shared" si="38"/>
        <v/>
      </c>
      <c r="J144" s="82"/>
      <c r="L144" s="36">
        <v>139</v>
      </c>
      <c r="M144" s="39">
        <f t="shared" si="39"/>
        <v>0</v>
      </c>
      <c r="N144" s="40" t="s">
        <v>30</v>
      </c>
      <c r="O144" s="41"/>
      <c r="P144" s="39">
        <f>QDrops!H18</f>
        <v>0</v>
      </c>
      <c r="Q144" s="95">
        <f>QDrops!I18</f>
        <v>210.04</v>
      </c>
      <c r="R144" s="95">
        <f>QDrops!K18</f>
        <v>0</v>
      </c>
      <c r="S144" s="39">
        <f>QDrops!D18</f>
        <v>2811911080</v>
      </c>
      <c r="T144" s="39" t="str">
        <f>QDrops!E18</f>
        <v>158 / 6"</v>
      </c>
      <c r="U144" s="40" t="str">
        <f>QDrops!F18</f>
        <v>20 / ¾"</v>
      </c>
      <c r="V144" s="39">
        <v>1</v>
      </c>
    </row>
    <row r="145" spans="1:22" ht="14.5">
      <c r="A145" s="69"/>
      <c r="B145" s="256" t="str">
        <f>IF(ISERROR(VLOOKUP(L145,$M$6:$V$612,7,0)),"",(VLOOKUP(L145,$M$6:$V751,7,0)))</f>
        <v/>
      </c>
      <c r="C145" s="140" t="str">
        <f t="shared" si="32"/>
        <v/>
      </c>
      <c r="D145" s="141" t="str">
        <f t="shared" si="33"/>
        <v/>
      </c>
      <c r="E145" s="140" t="str">
        <f t="shared" si="34"/>
        <v/>
      </c>
      <c r="F145" s="141" t="str">
        <f t="shared" si="35"/>
        <v/>
      </c>
      <c r="G145" s="142" t="str">
        <f t="shared" si="36"/>
        <v/>
      </c>
      <c r="H145" s="143" t="str">
        <f t="shared" si="37"/>
        <v/>
      </c>
      <c r="I145" s="144" t="str">
        <f t="shared" si="38"/>
        <v/>
      </c>
      <c r="J145" s="82"/>
      <c r="L145" s="36">
        <v>140</v>
      </c>
      <c r="M145" s="39">
        <f t="shared" si="39"/>
        <v>0</v>
      </c>
      <c r="N145" s="40" t="s">
        <v>30</v>
      </c>
      <c r="O145" s="41"/>
      <c r="P145" s="39">
        <f>QDrops!H19</f>
        <v>0</v>
      </c>
      <c r="Q145" s="95">
        <f>QDrops!I19</f>
        <v>231.06</v>
      </c>
      <c r="R145" s="95">
        <f>QDrops!K19</f>
        <v>0</v>
      </c>
      <c r="S145" s="39">
        <f>QDrops!D19</f>
        <v>2811921080</v>
      </c>
      <c r="T145" s="39" t="str">
        <f>QDrops!E19</f>
        <v>158 / 6"</v>
      </c>
      <c r="U145" s="40" t="str">
        <f>QDrops!F19</f>
        <v>25 / 1"</v>
      </c>
      <c r="V145" s="39">
        <v>1</v>
      </c>
    </row>
    <row r="146" spans="1:22" ht="14.5">
      <c r="A146" s="69"/>
      <c r="B146" s="256" t="str">
        <f>IF(ISERROR(VLOOKUP(L146,$M$6:$V$612,7,0)),"",(VLOOKUP(L146,$M$6:$V752,7,0)))</f>
        <v/>
      </c>
      <c r="C146" s="140" t="str">
        <f t="shared" si="32"/>
        <v/>
      </c>
      <c r="D146" s="141" t="str">
        <f t="shared" si="33"/>
        <v/>
      </c>
      <c r="E146" s="140" t="str">
        <f t="shared" si="34"/>
        <v/>
      </c>
      <c r="F146" s="141" t="str">
        <f t="shared" si="35"/>
        <v/>
      </c>
      <c r="G146" s="142" t="str">
        <f t="shared" si="36"/>
        <v/>
      </c>
      <c r="H146" s="143" t="str">
        <f t="shared" si="37"/>
        <v/>
      </c>
      <c r="I146" s="144" t="str">
        <f t="shared" si="38"/>
        <v/>
      </c>
      <c r="J146" s="82"/>
      <c r="L146" s="36">
        <v>141</v>
      </c>
      <c r="M146" s="39">
        <f t="shared" si="39"/>
        <v>0</v>
      </c>
      <c r="N146" s="40" t="s">
        <v>30</v>
      </c>
      <c r="O146" s="41"/>
      <c r="P146" s="39">
        <f>QDrops!H20</f>
        <v>0</v>
      </c>
      <c r="Q146" s="95">
        <f>QDrops!I20</f>
        <v>254.15</v>
      </c>
      <c r="R146" s="95">
        <f>QDrops!K20</f>
        <v>0</v>
      </c>
      <c r="S146" s="39">
        <f>QDrops!D20</f>
        <v>2811941080</v>
      </c>
      <c r="T146" s="39" t="str">
        <f>QDrops!E20</f>
        <v>158 / 6"</v>
      </c>
      <c r="U146" s="40" t="str">
        <f>QDrops!F20</f>
        <v>40 /1 1/2"</v>
      </c>
      <c r="V146" s="39">
        <v>1</v>
      </c>
    </row>
    <row r="147" spans="1:22" ht="14.5">
      <c r="A147" s="69"/>
      <c r="B147" s="256" t="str">
        <f>IF(ISERROR(VLOOKUP(L147,$M$6:$V$612,7,0)),"",(VLOOKUP(L147,$M$6:$V753,7,0)))</f>
        <v/>
      </c>
      <c r="C147" s="140" t="str">
        <f t="shared" si="32"/>
        <v/>
      </c>
      <c r="D147" s="141" t="str">
        <f t="shared" si="33"/>
        <v/>
      </c>
      <c r="E147" s="140" t="str">
        <f t="shared" si="34"/>
        <v/>
      </c>
      <c r="F147" s="141" t="str">
        <f t="shared" si="35"/>
        <v/>
      </c>
      <c r="G147" s="142" t="str">
        <f t="shared" si="36"/>
        <v/>
      </c>
      <c r="H147" s="143" t="str">
        <f t="shared" si="37"/>
        <v/>
      </c>
      <c r="I147" s="144" t="str">
        <f t="shared" si="38"/>
        <v/>
      </c>
      <c r="J147" s="82"/>
      <c r="L147" s="36">
        <v>142</v>
      </c>
      <c r="M147" s="39">
        <f t="shared" si="39"/>
        <v>0</v>
      </c>
      <c r="N147" s="40" t="s">
        <v>30</v>
      </c>
      <c r="O147" s="41"/>
      <c r="P147" s="39">
        <f>QDrops!H21</f>
        <v>0</v>
      </c>
      <c r="Q147" s="95">
        <f>QDrops!I21</f>
        <v>279.58</v>
      </c>
      <c r="R147" s="95">
        <f>QDrops!K21</f>
        <v>0</v>
      </c>
      <c r="S147" s="39">
        <f>QDrops!D21</f>
        <v>2811951080</v>
      </c>
      <c r="T147" s="39" t="str">
        <f>QDrops!E21</f>
        <v>158 / 6"</v>
      </c>
      <c r="U147" s="40" t="str">
        <f>QDrops!F21</f>
        <v>50 / 2"</v>
      </c>
      <c r="V147" s="39">
        <v>1</v>
      </c>
    </row>
    <row r="148" spans="1:22" ht="14.5">
      <c r="A148" s="69"/>
      <c r="B148" s="256" t="str">
        <f>IF(ISERROR(VLOOKUP(L148,$M$6:$V$612,7,0)),"",(VLOOKUP(L148,$M$6:$V754,7,0)))</f>
        <v/>
      </c>
      <c r="C148" s="140" t="str">
        <f t="shared" si="32"/>
        <v/>
      </c>
      <c r="D148" s="141" t="str">
        <f t="shared" si="33"/>
        <v/>
      </c>
      <c r="E148" s="140" t="str">
        <f t="shared" si="34"/>
        <v/>
      </c>
      <c r="F148" s="141" t="str">
        <f t="shared" si="35"/>
        <v/>
      </c>
      <c r="G148" s="142" t="str">
        <f t="shared" si="36"/>
        <v/>
      </c>
      <c r="H148" s="143" t="str">
        <f t="shared" si="37"/>
        <v/>
      </c>
      <c r="I148" s="144" t="str">
        <f t="shared" si="38"/>
        <v/>
      </c>
      <c r="J148" s="82"/>
      <c r="L148" s="36">
        <v>143</v>
      </c>
      <c r="M148" s="39">
        <f t="shared" si="39"/>
        <v>0</v>
      </c>
      <c r="O148" s="41"/>
      <c r="Q148" s="101"/>
      <c r="R148" s="101"/>
    </row>
    <row r="149" spans="1:22" ht="14.5">
      <c r="A149" s="69"/>
      <c r="B149" s="256" t="str">
        <f>IF(ISERROR(VLOOKUP(L149,$M$6:$V$612,7,0)),"",(VLOOKUP(L149,$M$6:$V755,7,0)))</f>
        <v/>
      </c>
      <c r="C149" s="140" t="str">
        <f t="shared" si="32"/>
        <v/>
      </c>
      <c r="D149" s="141" t="str">
        <f t="shared" si="33"/>
        <v/>
      </c>
      <c r="E149" s="140" t="str">
        <f t="shared" si="34"/>
        <v/>
      </c>
      <c r="F149" s="141" t="str">
        <f t="shared" si="35"/>
        <v/>
      </c>
      <c r="G149" s="142" t="str">
        <f t="shared" si="36"/>
        <v/>
      </c>
      <c r="H149" s="143" t="str">
        <f t="shared" si="37"/>
        <v/>
      </c>
      <c r="I149" s="144" t="str">
        <f t="shared" si="38"/>
        <v/>
      </c>
      <c r="J149" s="82"/>
      <c r="L149" s="36">
        <v>144</v>
      </c>
      <c r="M149" s="39">
        <f t="shared" si="39"/>
        <v>0</v>
      </c>
      <c r="O149" s="41"/>
      <c r="Q149" s="101"/>
      <c r="R149" s="101"/>
    </row>
    <row r="150" spans="1:22" ht="14.5">
      <c r="A150" s="69"/>
      <c r="B150" s="256" t="str">
        <f>IF(ISERROR(VLOOKUP(L150,$M$6:$V$612,7,0)),"",(VLOOKUP(L150,$M$6:$V756,7,0)))</f>
        <v/>
      </c>
      <c r="C150" s="140" t="str">
        <f t="shared" si="32"/>
        <v/>
      </c>
      <c r="D150" s="141" t="str">
        <f t="shared" si="33"/>
        <v/>
      </c>
      <c r="E150" s="140" t="str">
        <f t="shared" si="34"/>
        <v/>
      </c>
      <c r="F150" s="141" t="str">
        <f t="shared" si="35"/>
        <v/>
      </c>
      <c r="G150" s="142" t="str">
        <f t="shared" si="36"/>
        <v/>
      </c>
      <c r="H150" s="143" t="str">
        <f t="shared" si="37"/>
        <v/>
      </c>
      <c r="I150" s="144" t="str">
        <f t="shared" si="38"/>
        <v/>
      </c>
      <c r="J150" s="82"/>
      <c r="L150" s="36">
        <v>145</v>
      </c>
      <c r="M150" s="39">
        <f t="shared" si="39"/>
        <v>0</v>
      </c>
      <c r="N150" s="40" t="s">
        <v>30</v>
      </c>
      <c r="O150" s="41"/>
      <c r="P150" s="39">
        <f>QDrops!H24</f>
        <v>0</v>
      </c>
      <c r="Q150" s="95">
        <f>QDrops!I24</f>
        <v>26.29</v>
      </c>
      <c r="R150" s="95">
        <f>QDrops!K24</f>
        <v>0</v>
      </c>
      <c r="S150" s="39">
        <f>QDrops!D24</f>
        <v>2811201280</v>
      </c>
      <c r="T150" s="39" t="str">
        <f>QDrops!E24</f>
        <v>25 / 1"</v>
      </c>
      <c r="U150" s="40" t="str">
        <f>QDrops!F24</f>
        <v>1/2" NPT</v>
      </c>
      <c r="V150" s="39">
        <v>1</v>
      </c>
    </row>
    <row r="151" spans="1:22" ht="14.5">
      <c r="A151" s="69"/>
      <c r="B151" s="256" t="str">
        <f>IF(ISERROR(VLOOKUP(L151,$M$6:$V$612,7,0)),"",(VLOOKUP(L151,$M$6:$V757,7,0)))</f>
        <v/>
      </c>
      <c r="C151" s="140" t="str">
        <f t="shared" si="32"/>
        <v/>
      </c>
      <c r="D151" s="141" t="str">
        <f t="shared" si="33"/>
        <v/>
      </c>
      <c r="E151" s="140" t="str">
        <f t="shared" si="34"/>
        <v/>
      </c>
      <c r="F151" s="141" t="str">
        <f t="shared" si="35"/>
        <v/>
      </c>
      <c r="G151" s="142" t="str">
        <f t="shared" si="36"/>
        <v/>
      </c>
      <c r="H151" s="143" t="str">
        <f t="shared" si="37"/>
        <v/>
      </c>
      <c r="I151" s="144" t="str">
        <f t="shared" si="38"/>
        <v/>
      </c>
      <c r="J151" s="82"/>
      <c r="L151" s="36">
        <v>146</v>
      </c>
      <c r="M151" s="39">
        <f t="shared" ref="M151:M214" si="40">IF(P151&gt;0,M150+1,M150)</f>
        <v>0</v>
      </c>
      <c r="N151" s="40" t="s">
        <v>30</v>
      </c>
      <c r="O151" s="41"/>
      <c r="P151" s="39">
        <f>QDrops!H25</f>
        <v>0</v>
      </c>
      <c r="Q151" s="95">
        <f>QDrops!I25</f>
        <v>41.42</v>
      </c>
      <c r="R151" s="95">
        <f>QDrops!K25</f>
        <v>0</v>
      </c>
      <c r="S151" s="39">
        <f>QDrops!D25</f>
        <v>2811401280</v>
      </c>
      <c r="T151" s="39" t="str">
        <f>QDrops!E25</f>
        <v>40 / 1½"</v>
      </c>
      <c r="U151" s="40" t="str">
        <f>QDrops!F25</f>
        <v>1/2" NPT</v>
      </c>
      <c r="V151" s="39">
        <v>1</v>
      </c>
    </row>
    <row r="152" spans="1:22" ht="14.5">
      <c r="A152" s="69"/>
      <c r="B152" s="256" t="str">
        <f>IF(ISERROR(VLOOKUP(L152,$M$6:$V$612,7,0)),"",(VLOOKUP(L152,$M$6:$V758,7,0)))</f>
        <v/>
      </c>
      <c r="C152" s="140" t="str">
        <f t="shared" si="32"/>
        <v/>
      </c>
      <c r="D152" s="141" t="str">
        <f t="shared" si="33"/>
        <v/>
      </c>
      <c r="E152" s="140" t="str">
        <f t="shared" si="34"/>
        <v/>
      </c>
      <c r="F152" s="141" t="str">
        <f t="shared" si="35"/>
        <v/>
      </c>
      <c r="G152" s="142" t="str">
        <f t="shared" si="36"/>
        <v/>
      </c>
      <c r="H152" s="143" t="str">
        <f t="shared" si="37"/>
        <v/>
      </c>
      <c r="I152" s="144" t="str">
        <f t="shared" si="38"/>
        <v/>
      </c>
      <c r="J152" s="82"/>
      <c r="L152" s="36">
        <v>147</v>
      </c>
      <c r="M152" s="39">
        <f t="shared" si="40"/>
        <v>0</v>
      </c>
      <c r="N152" s="40" t="s">
        <v>30</v>
      </c>
      <c r="O152" s="41"/>
      <c r="P152" s="39">
        <f>QDrops!H26</f>
        <v>0</v>
      </c>
      <c r="Q152" s="95">
        <f>QDrops!I26</f>
        <v>43.91</v>
      </c>
      <c r="R152" s="95">
        <f>QDrops!K26</f>
        <v>0</v>
      </c>
      <c r="S152" s="39">
        <f>QDrops!D26</f>
        <v>2811411280</v>
      </c>
      <c r="T152" s="39" t="str">
        <f>QDrops!E26</f>
        <v>40 / 1½"</v>
      </c>
      <c r="U152" s="40" t="str">
        <f>QDrops!F26</f>
        <v>3/4"NPT</v>
      </c>
      <c r="V152" s="39">
        <v>1</v>
      </c>
    </row>
    <row r="153" spans="1:22" ht="14.5">
      <c r="A153" s="69"/>
      <c r="B153" s="256" t="str">
        <f>IF(ISERROR(VLOOKUP(L153,$M$6:$V$612,7,0)),"",(VLOOKUP(L153,$M$6:$V759,7,0)))</f>
        <v/>
      </c>
      <c r="C153" s="140" t="str">
        <f t="shared" si="32"/>
        <v/>
      </c>
      <c r="D153" s="141" t="str">
        <f t="shared" si="33"/>
        <v/>
      </c>
      <c r="E153" s="140" t="str">
        <f t="shared" si="34"/>
        <v/>
      </c>
      <c r="F153" s="141" t="str">
        <f t="shared" si="35"/>
        <v/>
      </c>
      <c r="G153" s="142" t="str">
        <f t="shared" si="36"/>
        <v/>
      </c>
      <c r="H153" s="143" t="str">
        <f t="shared" si="37"/>
        <v/>
      </c>
      <c r="I153" s="144" t="str">
        <f t="shared" si="38"/>
        <v/>
      </c>
      <c r="J153" s="82"/>
      <c r="L153" s="36">
        <v>148</v>
      </c>
      <c r="M153" s="39">
        <f t="shared" si="40"/>
        <v>0</v>
      </c>
      <c r="N153" s="40" t="s">
        <v>30</v>
      </c>
      <c r="O153" s="41"/>
      <c r="P153" s="39">
        <f>QDrops!H27</f>
        <v>0</v>
      </c>
      <c r="Q153" s="95">
        <f>QDrops!I27</f>
        <v>59.14</v>
      </c>
      <c r="R153" s="95">
        <f>QDrops!K27</f>
        <v>0</v>
      </c>
      <c r="S153" s="39">
        <f>QDrops!D27</f>
        <v>2811501280</v>
      </c>
      <c r="T153" s="39" t="str">
        <f>QDrops!E27</f>
        <v>50 / 2"</v>
      </c>
      <c r="U153" s="40" t="str">
        <f>QDrops!F27</f>
        <v>1/2" NPT</v>
      </c>
      <c r="V153" s="39">
        <v>1</v>
      </c>
    </row>
    <row r="154" spans="1:22" ht="14.5">
      <c r="A154" s="69"/>
      <c r="B154" s="256" t="str">
        <f>IF(ISERROR(VLOOKUP(L154,$M$6:$V$612,7,0)),"",(VLOOKUP(L154,$M$6:$V760,7,0)))</f>
        <v/>
      </c>
      <c r="C154" s="140" t="str">
        <f t="shared" si="32"/>
        <v/>
      </c>
      <c r="D154" s="141" t="str">
        <f t="shared" si="33"/>
        <v/>
      </c>
      <c r="E154" s="140" t="str">
        <f t="shared" si="34"/>
        <v/>
      </c>
      <c r="F154" s="141" t="str">
        <f t="shared" si="35"/>
        <v/>
      </c>
      <c r="G154" s="142" t="str">
        <f t="shared" si="36"/>
        <v/>
      </c>
      <c r="H154" s="143" t="str">
        <f t="shared" si="37"/>
        <v/>
      </c>
      <c r="I154" s="144" t="str">
        <f t="shared" si="38"/>
        <v/>
      </c>
      <c r="J154" s="82"/>
      <c r="L154" s="36">
        <v>149</v>
      </c>
      <c r="M154" s="39">
        <f t="shared" si="40"/>
        <v>0</v>
      </c>
      <c r="N154" s="40" t="s">
        <v>30</v>
      </c>
      <c r="O154" s="41"/>
      <c r="P154" s="39">
        <f>QDrops!H28</f>
        <v>0</v>
      </c>
      <c r="Q154" s="95">
        <f>QDrops!I28</f>
        <v>60.56</v>
      </c>
      <c r="R154" s="95">
        <f>QDrops!K28</f>
        <v>0</v>
      </c>
      <c r="S154" s="39">
        <f>QDrops!D28</f>
        <v>2811511280</v>
      </c>
      <c r="T154" s="39" t="str">
        <f>QDrops!E28</f>
        <v>50 / 2"</v>
      </c>
      <c r="U154" s="40" t="str">
        <f>QDrops!F28</f>
        <v>3/4"NPT</v>
      </c>
      <c r="V154" s="39">
        <v>1</v>
      </c>
    </row>
    <row r="155" spans="1:22" ht="14.5">
      <c r="A155" s="69"/>
      <c r="B155" s="256" t="str">
        <f>IF(ISERROR(VLOOKUP(L155,$M$6:$V$612,7,0)),"",(VLOOKUP(L155,$M$6:$V761,7,0)))</f>
        <v/>
      </c>
      <c r="C155" s="140" t="str">
        <f t="shared" si="32"/>
        <v/>
      </c>
      <c r="D155" s="141" t="str">
        <f t="shared" si="33"/>
        <v/>
      </c>
      <c r="E155" s="140" t="str">
        <f t="shared" si="34"/>
        <v/>
      </c>
      <c r="F155" s="141" t="str">
        <f t="shared" si="35"/>
        <v/>
      </c>
      <c r="G155" s="142" t="str">
        <f t="shared" si="36"/>
        <v/>
      </c>
      <c r="H155" s="143" t="str">
        <f t="shared" si="37"/>
        <v/>
      </c>
      <c r="I155" s="144" t="str">
        <f t="shared" si="38"/>
        <v/>
      </c>
      <c r="J155" s="82"/>
      <c r="L155" s="36">
        <v>150</v>
      </c>
      <c r="M155" s="39">
        <f t="shared" si="40"/>
        <v>0</v>
      </c>
      <c r="N155" s="40" t="s">
        <v>30</v>
      </c>
      <c r="O155" s="41"/>
      <c r="P155" s="39">
        <f>QDrops!H29</f>
        <v>0</v>
      </c>
      <c r="Q155" s="95">
        <f>QDrops!I29</f>
        <v>67.430000000000007</v>
      </c>
      <c r="R155" s="95">
        <f>QDrops!K29</f>
        <v>0</v>
      </c>
      <c r="S155" s="39">
        <f>QDrops!D29</f>
        <v>2811601280</v>
      </c>
      <c r="T155" s="39" t="str">
        <f>QDrops!E29</f>
        <v>63 / 2½"</v>
      </c>
      <c r="U155" s="40" t="str">
        <f>QDrops!F29</f>
        <v>1/2" NPT</v>
      </c>
      <c r="V155" s="39">
        <v>1</v>
      </c>
    </row>
    <row r="156" spans="1:22" ht="14.5">
      <c r="A156" s="69"/>
      <c r="B156" s="256" t="str">
        <f>IF(ISERROR(VLOOKUP(L156,$M$6:$V$612,7,0)),"",(VLOOKUP(L156,$M$6:$V762,7,0)))</f>
        <v/>
      </c>
      <c r="C156" s="140" t="str">
        <f t="shared" si="32"/>
        <v/>
      </c>
      <c r="D156" s="141" t="str">
        <f t="shared" si="33"/>
        <v/>
      </c>
      <c r="E156" s="140" t="str">
        <f t="shared" si="34"/>
        <v/>
      </c>
      <c r="F156" s="141" t="str">
        <f t="shared" si="35"/>
        <v/>
      </c>
      <c r="G156" s="142" t="str">
        <f t="shared" si="36"/>
        <v/>
      </c>
      <c r="H156" s="143" t="str">
        <f t="shared" si="37"/>
        <v/>
      </c>
      <c r="I156" s="144" t="str">
        <f t="shared" si="38"/>
        <v/>
      </c>
      <c r="J156" s="82"/>
      <c r="L156" s="36">
        <v>151</v>
      </c>
      <c r="M156" s="39">
        <f t="shared" si="40"/>
        <v>0</v>
      </c>
      <c r="N156" s="40" t="s">
        <v>30</v>
      </c>
      <c r="O156" s="41"/>
      <c r="P156" s="39">
        <f>QDrops!H30</f>
        <v>0</v>
      </c>
      <c r="Q156" s="95">
        <f>QDrops!I30</f>
        <v>68.55</v>
      </c>
      <c r="R156" s="95">
        <f>QDrops!K30</f>
        <v>0</v>
      </c>
      <c r="S156" s="39">
        <f>QDrops!D30</f>
        <v>2811611280</v>
      </c>
      <c r="T156" s="39" t="str">
        <f>QDrops!E30</f>
        <v>63 / 2½"</v>
      </c>
      <c r="U156" s="40" t="str">
        <f>QDrops!F30</f>
        <v>3/4"NPT</v>
      </c>
      <c r="V156" s="39">
        <v>1</v>
      </c>
    </row>
    <row r="157" spans="1:22" ht="14.5" hidden="1">
      <c r="B157" s="256" t="str">
        <f>IF(ISERROR(VLOOKUP(L157,$M$6:$V$612,7,0)),"",(VLOOKUP(L157,$M$6:$V763,7,0)))</f>
        <v/>
      </c>
      <c r="C157" s="140" t="str">
        <f t="shared" si="32"/>
        <v/>
      </c>
      <c r="D157" s="141" t="str">
        <f t="shared" si="33"/>
        <v/>
      </c>
      <c r="E157" s="140" t="str">
        <f t="shared" si="34"/>
        <v/>
      </c>
      <c r="F157" s="141" t="str">
        <f t="shared" si="35"/>
        <v/>
      </c>
      <c r="G157" s="142" t="str">
        <f t="shared" si="36"/>
        <v/>
      </c>
      <c r="H157" s="143" t="str">
        <f t="shared" si="37"/>
        <v/>
      </c>
      <c r="I157" s="144" t="str">
        <f t="shared" si="38"/>
        <v/>
      </c>
      <c r="L157" s="36">
        <v>152</v>
      </c>
      <c r="M157" s="39">
        <f t="shared" si="40"/>
        <v>0</v>
      </c>
      <c r="N157" s="40" t="s">
        <v>30</v>
      </c>
      <c r="O157" s="41"/>
      <c r="P157" s="39">
        <f>QDrops!H31</f>
        <v>0</v>
      </c>
      <c r="Q157" s="95">
        <f>QDrops!I31</f>
        <v>111.77</v>
      </c>
      <c r="R157" s="95">
        <f>QDrops!K31</f>
        <v>0</v>
      </c>
      <c r="S157" s="39">
        <f>QDrops!D31</f>
        <v>2811701280</v>
      </c>
      <c r="T157" s="39" t="str">
        <f>QDrops!E31</f>
        <v>80 / 3"</v>
      </c>
      <c r="U157" s="40" t="str">
        <f>QDrops!F31</f>
        <v>1/2" NPT</v>
      </c>
      <c r="V157" s="39">
        <v>1</v>
      </c>
    </row>
    <row r="158" spans="1:22" ht="14.5" hidden="1">
      <c r="B158" s="256" t="str">
        <f>IF(ISERROR(VLOOKUP(L158,$M$6:$V$612,7,0)),"",(VLOOKUP(L158,$M$6:$V764,7,0)))</f>
        <v/>
      </c>
      <c r="C158" s="140" t="str">
        <f t="shared" si="32"/>
        <v/>
      </c>
      <c r="D158" s="141" t="str">
        <f t="shared" si="33"/>
        <v/>
      </c>
      <c r="E158" s="140" t="str">
        <f t="shared" si="34"/>
        <v/>
      </c>
      <c r="F158" s="141" t="str">
        <f t="shared" si="35"/>
        <v/>
      </c>
      <c r="G158" s="142" t="str">
        <f t="shared" si="36"/>
        <v/>
      </c>
      <c r="H158" s="143" t="str">
        <f t="shared" si="37"/>
        <v/>
      </c>
      <c r="I158" s="144" t="str">
        <f t="shared" si="38"/>
        <v/>
      </c>
      <c r="L158" s="36">
        <v>153</v>
      </c>
      <c r="M158" s="39">
        <f t="shared" si="40"/>
        <v>0</v>
      </c>
      <c r="N158" s="40" t="s">
        <v>30</v>
      </c>
      <c r="O158" s="41"/>
      <c r="P158" s="39">
        <f>QDrops!H32</f>
        <v>0</v>
      </c>
      <c r="Q158" s="95">
        <f>QDrops!I32</f>
        <v>136.49</v>
      </c>
      <c r="R158" s="95">
        <f>QDrops!K32</f>
        <v>0</v>
      </c>
      <c r="S158" s="39">
        <f>QDrops!D32</f>
        <v>2811711280</v>
      </c>
      <c r="T158" s="39" t="str">
        <f>QDrops!E32</f>
        <v>80 / 3"</v>
      </c>
      <c r="U158" s="40" t="str">
        <f>QDrops!F32</f>
        <v>3/4"NPT</v>
      </c>
      <c r="V158" s="39">
        <v>1</v>
      </c>
    </row>
    <row r="159" spans="1:22" ht="14.5" hidden="1">
      <c r="B159" s="256" t="str">
        <f>IF(ISERROR(VLOOKUP(L159,$M$6:$V$612,7,0)),"",(VLOOKUP(L159,$M$6:$V765,7,0)))</f>
        <v/>
      </c>
      <c r="C159" s="140" t="str">
        <f t="shared" si="32"/>
        <v/>
      </c>
      <c r="D159" s="141" t="str">
        <f t="shared" si="33"/>
        <v/>
      </c>
      <c r="E159" s="140" t="str">
        <f t="shared" si="34"/>
        <v/>
      </c>
      <c r="F159" s="141" t="str">
        <f t="shared" si="35"/>
        <v/>
      </c>
      <c r="G159" s="142" t="str">
        <f t="shared" si="36"/>
        <v/>
      </c>
      <c r="H159" s="143" t="str">
        <f t="shared" si="37"/>
        <v/>
      </c>
      <c r="I159" s="144" t="str">
        <f t="shared" si="38"/>
        <v/>
      </c>
      <c r="L159" s="36">
        <v>154</v>
      </c>
      <c r="M159" s="39">
        <f t="shared" si="40"/>
        <v>0</v>
      </c>
      <c r="O159" s="41"/>
      <c r="Q159" s="101"/>
      <c r="R159" s="101"/>
    </row>
    <row r="160" spans="1:22" ht="14.5" hidden="1">
      <c r="B160" s="257"/>
      <c r="C160" s="115"/>
      <c r="D160" s="114"/>
      <c r="E160" s="115"/>
      <c r="F160" s="114"/>
      <c r="G160" s="116"/>
      <c r="H160" s="117"/>
      <c r="I160" s="113"/>
      <c r="L160" s="36">
        <v>155</v>
      </c>
      <c r="M160" s="39">
        <f t="shared" si="40"/>
        <v>0</v>
      </c>
      <c r="N160" s="40" t="s">
        <v>30</v>
      </c>
      <c r="O160" s="41"/>
      <c r="P160" s="39">
        <f>QDrops!H34</f>
        <v>0</v>
      </c>
      <c r="Q160" s="95">
        <f>QDrops!I34</f>
        <v>132.94</v>
      </c>
      <c r="R160" s="95">
        <f>QDrops!K34</f>
        <v>0</v>
      </c>
      <c r="S160" s="39">
        <f>QDrops!D34</f>
        <v>2811811280</v>
      </c>
      <c r="T160" s="39" t="str">
        <f>QDrops!E34</f>
        <v>100 / 4"</v>
      </c>
      <c r="U160" s="40" t="str">
        <f>QDrops!F34</f>
        <v>3/4"NPT</v>
      </c>
      <c r="V160" s="39">
        <v>1</v>
      </c>
    </row>
    <row r="161" spans="2:22" ht="14.5" hidden="1">
      <c r="B161" s="257"/>
      <c r="C161" s="115"/>
      <c r="D161" s="114"/>
      <c r="E161" s="115"/>
      <c r="F161" s="114"/>
      <c r="G161" s="116"/>
      <c r="H161" s="117"/>
      <c r="I161" s="113"/>
      <c r="L161" s="36">
        <v>156</v>
      </c>
      <c r="M161" s="39">
        <f t="shared" si="40"/>
        <v>0</v>
      </c>
      <c r="N161" s="40" t="s">
        <v>30</v>
      </c>
      <c r="O161" s="41"/>
      <c r="P161" s="39">
        <f>QDrops!H35</f>
        <v>0</v>
      </c>
      <c r="Q161" s="95">
        <f>QDrops!I35</f>
        <v>146.24</v>
      </c>
      <c r="R161" s="95">
        <f>QDrops!K35</f>
        <v>0</v>
      </c>
      <c r="S161" s="39">
        <f>QDrops!D35</f>
        <v>2811821280</v>
      </c>
      <c r="T161" s="39" t="str">
        <f>QDrops!E35</f>
        <v>100 / 4"</v>
      </c>
      <c r="U161" s="40" t="str">
        <f>QDrops!F35</f>
        <v>1" NPT</v>
      </c>
      <c r="V161" s="39">
        <v>1</v>
      </c>
    </row>
    <row r="162" spans="2:22" ht="14.5" hidden="1">
      <c r="B162" s="257"/>
      <c r="C162" s="115"/>
      <c r="D162" s="114"/>
      <c r="E162" s="115"/>
      <c r="F162" s="114"/>
      <c r="G162" s="116"/>
      <c r="H162" s="117"/>
      <c r="I162" s="113"/>
      <c r="L162" s="36">
        <v>157</v>
      </c>
      <c r="M162" s="39">
        <f t="shared" si="40"/>
        <v>0</v>
      </c>
      <c r="N162" s="40" t="s">
        <v>30</v>
      </c>
      <c r="O162" s="41"/>
      <c r="P162" s="39">
        <f>QDrops!H36</f>
        <v>0</v>
      </c>
      <c r="Q162" s="95">
        <f>QDrops!I36</f>
        <v>160.85</v>
      </c>
      <c r="R162" s="95">
        <f>QDrops!K36</f>
        <v>0</v>
      </c>
      <c r="S162" s="39">
        <f>QDrops!D36</f>
        <v>2811841280</v>
      </c>
      <c r="T162" s="39" t="str">
        <f>QDrops!E36</f>
        <v>100 / 4"</v>
      </c>
      <c r="U162" s="40" t="str">
        <f>QDrops!F36</f>
        <v>1 1/2" NPT</v>
      </c>
      <c r="V162" s="39">
        <v>1</v>
      </c>
    </row>
    <row r="163" spans="2:22" ht="14.5" hidden="1">
      <c r="B163" s="257"/>
      <c r="C163" s="115"/>
      <c r="D163" s="114"/>
      <c r="E163" s="115"/>
      <c r="F163" s="114"/>
      <c r="G163" s="116"/>
      <c r="H163" s="117"/>
      <c r="I163" s="113"/>
      <c r="L163" s="36">
        <v>158</v>
      </c>
      <c r="M163" s="39">
        <f t="shared" si="40"/>
        <v>0</v>
      </c>
      <c r="N163" s="40" t="s">
        <v>30</v>
      </c>
      <c r="O163" s="41"/>
      <c r="P163" s="39">
        <f>QDrops!H37</f>
        <v>0</v>
      </c>
      <c r="Q163" s="95">
        <f>QDrops!I37</f>
        <v>176.94</v>
      </c>
      <c r="R163" s="95">
        <f>QDrops!K37</f>
        <v>0</v>
      </c>
      <c r="S163" s="39">
        <f>QDrops!D37</f>
        <v>2811851280</v>
      </c>
      <c r="T163" s="39" t="str">
        <f>QDrops!E37</f>
        <v>100 / 4"</v>
      </c>
      <c r="U163" s="40" t="str">
        <f>QDrops!F37</f>
        <v>2" NPT</v>
      </c>
      <c r="V163" s="39">
        <v>1</v>
      </c>
    </row>
    <row r="164" spans="2:22" ht="14.5" hidden="1">
      <c r="B164" s="257"/>
      <c r="C164" s="115"/>
      <c r="D164" s="114"/>
      <c r="E164" s="115"/>
      <c r="F164" s="114"/>
      <c r="G164" s="116"/>
      <c r="H164" s="117"/>
      <c r="I164" s="113"/>
      <c r="L164" s="36">
        <v>159</v>
      </c>
      <c r="M164" s="39">
        <f t="shared" si="40"/>
        <v>0</v>
      </c>
      <c r="N164" s="40" t="s">
        <v>30</v>
      </c>
      <c r="O164" s="41"/>
      <c r="P164" s="39">
        <f>QDrops!H38</f>
        <v>0</v>
      </c>
      <c r="Q164" s="95">
        <f>QDrops!I38</f>
        <v>210.04</v>
      </c>
      <c r="R164" s="95">
        <f>QDrops!K38</f>
        <v>0</v>
      </c>
      <c r="S164" s="39">
        <f>QDrops!D38</f>
        <v>2811911280</v>
      </c>
      <c r="T164" s="39" t="str">
        <f>QDrops!E38</f>
        <v>158 / 6"</v>
      </c>
      <c r="U164" s="40" t="str">
        <f>QDrops!F38</f>
        <v>3/4"NPT</v>
      </c>
      <c r="V164" s="39">
        <v>1</v>
      </c>
    </row>
    <row r="165" spans="2:22" ht="14.5" hidden="1">
      <c r="B165" s="257" t="str">
        <f>IF(ISERROR(VLOOKUP(L177,$M$6:$V$612,7,0)),"",(VLOOKUP(L177,$M$6:$V767,7,0)))</f>
        <v/>
      </c>
      <c r="C165" s="115" t="str">
        <f t="shared" ref="C165:C191" si="41">IF(ISERROR(VLOOKUP(L177,$M$6:$V$612,2,0)),"",(VLOOKUP(L177,$M$6:$V$612,2,0)))</f>
        <v/>
      </c>
      <c r="D165" s="114" t="str">
        <f t="shared" ref="D165:D191" si="42">IF(ISERROR(VLOOKUP(L177,$M$6:$V$612,8,0)),"",(VLOOKUP(L177,$M$6:$V$612,8,0)))</f>
        <v/>
      </c>
      <c r="E165" s="115" t="str">
        <f t="shared" ref="E165:E191" si="43">IF(ISERROR(VLOOKUP(L177,$M$6:$V$612,9,FALSE)),"",(VLOOKUP(L177,$M$6:$V$612,9,0)))</f>
        <v/>
      </c>
      <c r="F165" s="114" t="str">
        <f t="shared" ref="F165:F191" si="44">IF(ISERROR(VLOOKUP(L177,$M$6:$V$612,10,0)),"",(VLOOKUP(L177,$M$6:$V$612,10,0)))</f>
        <v/>
      </c>
      <c r="G165" s="116" t="str">
        <f t="shared" ref="G165:G191" si="45">IF(ISERROR(VLOOKUP(L177,$M$6:$V$612,5,0)),"",(VLOOKUP(L177,$M$6:$V$612,5,0)))</f>
        <v/>
      </c>
      <c r="H165" s="117" t="str">
        <f t="shared" ref="H165:H191" si="46">IF(ISERROR(VLOOKUP(L177,$M$6:$V$612,4,0)),"",(VLOOKUP(L177,$M$6:$V$612,4,0)))</f>
        <v/>
      </c>
      <c r="I165" s="113" t="str">
        <f t="shared" ref="I165:I191" si="47">IF(ISERROR(VLOOKUP(L177,$M$6:$V$612,6,0)),"",(VLOOKUP(L177,$M$6:$V$612,6,0)))</f>
        <v/>
      </c>
      <c r="L165" s="36">
        <v>160</v>
      </c>
      <c r="M165" s="39">
        <f t="shared" si="40"/>
        <v>0</v>
      </c>
      <c r="N165" s="40" t="s">
        <v>30</v>
      </c>
      <c r="O165" s="41"/>
      <c r="P165" s="39">
        <f>QDrops!H39</f>
        <v>0</v>
      </c>
      <c r="Q165" s="95">
        <f>QDrops!I39</f>
        <v>231.06</v>
      </c>
      <c r="R165" s="95">
        <f>QDrops!K39</f>
        <v>0</v>
      </c>
      <c r="S165" s="39">
        <f>QDrops!D39</f>
        <v>2811921280</v>
      </c>
      <c r="T165" s="39" t="str">
        <f>QDrops!E39</f>
        <v>158 / 6"</v>
      </c>
      <c r="U165" s="40" t="str">
        <f>QDrops!F39</f>
        <v>1" NPT</v>
      </c>
      <c r="V165" s="39">
        <v>1</v>
      </c>
    </row>
    <row r="166" spans="2:22" ht="14.5" hidden="1">
      <c r="B166" s="257" t="str">
        <f>IF(ISERROR(VLOOKUP(L178,$M$6:$V$612,7,0)),"",(VLOOKUP(L178,$M$6:$V768,7,0)))</f>
        <v/>
      </c>
      <c r="C166" s="115" t="str">
        <f t="shared" si="41"/>
        <v/>
      </c>
      <c r="D166" s="114" t="str">
        <f t="shared" si="42"/>
        <v/>
      </c>
      <c r="E166" s="115" t="str">
        <f t="shared" si="43"/>
        <v/>
      </c>
      <c r="F166" s="114" t="str">
        <f t="shared" si="44"/>
        <v/>
      </c>
      <c r="G166" s="116" t="str">
        <f t="shared" si="45"/>
        <v/>
      </c>
      <c r="H166" s="117" t="str">
        <f t="shared" si="46"/>
        <v/>
      </c>
      <c r="I166" s="113" t="str">
        <f t="shared" si="47"/>
        <v/>
      </c>
      <c r="L166" s="36">
        <v>161</v>
      </c>
      <c r="M166" s="39">
        <f t="shared" si="40"/>
        <v>0</v>
      </c>
      <c r="N166" s="40" t="s">
        <v>30</v>
      </c>
      <c r="O166" s="41"/>
      <c r="P166" s="39">
        <f>QDrops!H40</f>
        <v>0</v>
      </c>
      <c r="Q166" s="95">
        <f>QDrops!I40</f>
        <v>254.15</v>
      </c>
      <c r="R166" s="95">
        <f>QDrops!K40</f>
        <v>0</v>
      </c>
      <c r="S166" s="39">
        <f>QDrops!D40</f>
        <v>2811941280</v>
      </c>
      <c r="T166" s="39" t="str">
        <f>QDrops!E40</f>
        <v>158 / 6"</v>
      </c>
      <c r="U166" s="40" t="str">
        <f>QDrops!F40</f>
        <v>1 1/2" NPT</v>
      </c>
      <c r="V166" s="39">
        <v>1</v>
      </c>
    </row>
    <row r="167" spans="2:22" ht="14.5" hidden="1">
      <c r="B167" s="257" t="str">
        <f>IF(ISERROR(VLOOKUP(L179,$M$6:$V$612,7,0)),"",(VLOOKUP(L179,$M$6:$V769,7,0)))</f>
        <v/>
      </c>
      <c r="C167" s="115" t="str">
        <f t="shared" si="41"/>
        <v/>
      </c>
      <c r="D167" s="114" t="str">
        <f t="shared" si="42"/>
        <v/>
      </c>
      <c r="E167" s="115" t="str">
        <f t="shared" si="43"/>
        <v/>
      </c>
      <c r="F167" s="114" t="str">
        <f t="shared" si="44"/>
        <v/>
      </c>
      <c r="G167" s="116" t="str">
        <f t="shared" si="45"/>
        <v/>
      </c>
      <c r="H167" s="117" t="str">
        <f t="shared" si="46"/>
        <v/>
      </c>
      <c r="I167" s="113" t="str">
        <f t="shared" si="47"/>
        <v/>
      </c>
      <c r="L167" s="36">
        <v>162</v>
      </c>
      <c r="M167" s="39">
        <f t="shared" si="40"/>
        <v>0</v>
      </c>
      <c r="N167" s="40" t="s">
        <v>30</v>
      </c>
      <c r="O167" s="41"/>
      <c r="P167" s="39">
        <f>QDrops!H41</f>
        <v>0</v>
      </c>
      <c r="Q167" s="95">
        <f>QDrops!I41</f>
        <v>279.58</v>
      </c>
      <c r="R167" s="95">
        <f>QDrops!K41</f>
        <v>0</v>
      </c>
      <c r="S167" s="39">
        <f>QDrops!D41</f>
        <v>2811951280</v>
      </c>
      <c r="T167" s="39" t="str">
        <f>QDrops!E41</f>
        <v>158 / 6"</v>
      </c>
      <c r="U167" s="40" t="str">
        <f>QDrops!F41</f>
        <v>2" NPT</v>
      </c>
      <c r="V167" s="39">
        <v>1</v>
      </c>
    </row>
    <row r="168" spans="2:22" ht="14.5" hidden="1">
      <c r="B168" s="257" t="str">
        <f>IF(ISERROR(VLOOKUP(L180,$M$6:$V$612,7,0)),"",(VLOOKUP(L180,$M$6:$V770,7,0)))</f>
        <v/>
      </c>
      <c r="C168" s="115" t="str">
        <f t="shared" si="41"/>
        <v/>
      </c>
      <c r="D168" s="114" t="str">
        <f t="shared" si="42"/>
        <v/>
      </c>
      <c r="E168" s="115" t="str">
        <f t="shared" si="43"/>
        <v/>
      </c>
      <c r="F168" s="114" t="str">
        <f t="shared" si="44"/>
        <v/>
      </c>
      <c r="G168" s="116" t="str">
        <f t="shared" si="45"/>
        <v/>
      </c>
      <c r="H168" s="117" t="str">
        <f t="shared" si="46"/>
        <v/>
      </c>
      <c r="I168" s="113" t="str">
        <f t="shared" si="47"/>
        <v/>
      </c>
      <c r="L168" s="36">
        <v>163</v>
      </c>
      <c r="M168" s="39">
        <f t="shared" si="40"/>
        <v>0</v>
      </c>
      <c r="N168" s="18"/>
      <c r="O168" s="41"/>
      <c r="P168" s="87"/>
      <c r="Q168" s="96"/>
      <c r="R168" s="96"/>
      <c r="S168" s="87"/>
      <c r="T168" s="87"/>
      <c r="U168" s="18"/>
      <c r="V168" s="87"/>
    </row>
    <row r="169" spans="2:22" ht="14.5" hidden="1">
      <c r="B169" s="257" t="str">
        <f>IF(ISERROR(VLOOKUP(L181,$M$6:$V$612,7,0)),"",(VLOOKUP(L181,$M$6:$V771,7,0)))</f>
        <v/>
      </c>
      <c r="C169" s="115" t="str">
        <f t="shared" si="41"/>
        <v/>
      </c>
      <c r="D169" s="114" t="str">
        <f t="shared" si="42"/>
        <v/>
      </c>
      <c r="E169" s="115" t="str">
        <f t="shared" si="43"/>
        <v/>
      </c>
      <c r="F169" s="114" t="str">
        <f t="shared" si="44"/>
        <v/>
      </c>
      <c r="G169" s="116" t="str">
        <f t="shared" si="45"/>
        <v/>
      </c>
      <c r="H169" s="117" t="str">
        <f t="shared" si="46"/>
        <v/>
      </c>
      <c r="I169" s="113" t="str">
        <f t="shared" si="47"/>
        <v/>
      </c>
      <c r="L169" s="36">
        <v>164</v>
      </c>
      <c r="M169" s="39">
        <f t="shared" si="40"/>
        <v>0</v>
      </c>
      <c r="N169" s="18"/>
      <c r="O169" s="41"/>
      <c r="P169" s="87"/>
      <c r="Q169" s="96"/>
      <c r="R169" s="96"/>
      <c r="S169" s="87"/>
      <c r="T169" s="87"/>
      <c r="U169" s="18"/>
      <c r="V169" s="87"/>
    </row>
    <row r="170" spans="2:22" ht="14.5" hidden="1">
      <c r="B170" s="257" t="str">
        <f>IF(ISERROR(VLOOKUP(L182,$M$6:$V$612,7,0)),"",(VLOOKUP(L182,$M$6:$V772,7,0)))</f>
        <v/>
      </c>
      <c r="C170" s="115" t="str">
        <f t="shared" si="41"/>
        <v/>
      </c>
      <c r="D170" s="114" t="str">
        <f t="shared" si="42"/>
        <v/>
      </c>
      <c r="E170" s="115" t="str">
        <f t="shared" si="43"/>
        <v/>
      </c>
      <c r="F170" s="114" t="str">
        <f t="shared" si="44"/>
        <v/>
      </c>
      <c r="G170" s="116" t="str">
        <f t="shared" si="45"/>
        <v/>
      </c>
      <c r="H170" s="117" t="str">
        <f t="shared" si="46"/>
        <v/>
      </c>
      <c r="I170" s="113" t="str">
        <f t="shared" si="47"/>
        <v/>
      </c>
      <c r="L170" s="36">
        <v>165</v>
      </c>
      <c r="M170" s="39">
        <f t="shared" si="40"/>
        <v>0</v>
      </c>
      <c r="N170" s="6" t="s">
        <v>333</v>
      </c>
      <c r="O170" s="41"/>
      <c r="P170" s="39">
        <f>QDrops!H51</f>
        <v>0</v>
      </c>
      <c r="Q170" s="95">
        <f>QDrops!I51</f>
        <v>32.86</v>
      </c>
      <c r="R170" s="95">
        <f>QDrops!K51</f>
        <v>0</v>
      </c>
      <c r="S170" s="39">
        <f>QDrops!D51</f>
        <v>2811102480</v>
      </c>
      <c r="T170" s="39" t="str">
        <f>QDrops!E51</f>
        <v>20 / ¾"</v>
      </c>
      <c r="U170" s="40" t="str">
        <f>QDrops!F51</f>
        <v>(3) / 1/2" NPT</v>
      </c>
      <c r="V170" s="39">
        <v>1</v>
      </c>
    </row>
    <row r="171" spans="2:22" ht="14.5" hidden="1">
      <c r="B171" s="257" t="str">
        <f>IF(ISERROR(VLOOKUP(L183,$M$6:$V$612,7,0)),"",(VLOOKUP(L183,$M$6:$V773,7,0)))</f>
        <v/>
      </c>
      <c r="C171" s="115" t="str">
        <f t="shared" si="41"/>
        <v/>
      </c>
      <c r="D171" s="114" t="str">
        <f t="shared" si="42"/>
        <v/>
      </c>
      <c r="E171" s="115" t="str">
        <f t="shared" si="43"/>
        <v/>
      </c>
      <c r="F171" s="114" t="str">
        <f t="shared" si="44"/>
        <v/>
      </c>
      <c r="G171" s="116" t="str">
        <f t="shared" si="45"/>
        <v/>
      </c>
      <c r="H171" s="117" t="str">
        <f t="shared" si="46"/>
        <v/>
      </c>
      <c r="I171" s="113" t="str">
        <f t="shared" si="47"/>
        <v/>
      </c>
      <c r="L171" s="36">
        <v>166</v>
      </c>
      <c r="M171" s="39">
        <f t="shared" si="40"/>
        <v>0</v>
      </c>
      <c r="N171" s="6" t="s">
        <v>333</v>
      </c>
      <c r="O171" s="41"/>
      <c r="P171" s="39">
        <f>QDrops!H52</f>
        <v>0</v>
      </c>
      <c r="Q171" s="95">
        <f>QDrops!I52</f>
        <v>33</v>
      </c>
      <c r="R171" s="95">
        <f>QDrops!K52</f>
        <v>0</v>
      </c>
      <c r="S171" s="39">
        <f>QDrops!D52</f>
        <v>2811202480</v>
      </c>
      <c r="T171" s="39" t="str">
        <f>QDrops!E52</f>
        <v>25 / 1"</v>
      </c>
      <c r="U171" s="40" t="str">
        <f>QDrops!F52</f>
        <v>(3) / 1/2" NPT</v>
      </c>
      <c r="V171" s="39">
        <v>1</v>
      </c>
    </row>
    <row r="172" spans="2:22" ht="14.5" hidden="1">
      <c r="B172" s="257" t="str">
        <f>IF(ISERROR(VLOOKUP(L184,$M$6:$V$612,7,0)),"",(VLOOKUP(L184,$M$6:$V774,7,0)))</f>
        <v/>
      </c>
      <c r="C172" s="115" t="str">
        <f t="shared" si="41"/>
        <v/>
      </c>
      <c r="D172" s="114" t="str">
        <f t="shared" si="42"/>
        <v/>
      </c>
      <c r="E172" s="115" t="str">
        <f t="shared" si="43"/>
        <v/>
      </c>
      <c r="F172" s="114" t="str">
        <f t="shared" si="44"/>
        <v/>
      </c>
      <c r="G172" s="116" t="str">
        <f t="shared" si="45"/>
        <v/>
      </c>
      <c r="H172" s="117" t="str">
        <f t="shared" si="46"/>
        <v/>
      </c>
      <c r="I172" s="113" t="str">
        <f t="shared" si="47"/>
        <v/>
      </c>
      <c r="L172" s="36">
        <v>167</v>
      </c>
      <c r="M172" s="39">
        <f t="shared" si="40"/>
        <v>0</v>
      </c>
      <c r="N172" s="6" t="s">
        <v>333</v>
      </c>
      <c r="O172" s="41"/>
      <c r="P172" s="39">
        <f>QDrops!H53</f>
        <v>0</v>
      </c>
      <c r="Q172" s="95">
        <f>QDrops!I53</f>
        <v>29.9</v>
      </c>
      <c r="R172" s="95">
        <f>QDrops!K53</f>
        <v>0</v>
      </c>
      <c r="S172" s="39">
        <f>QDrops!D53</f>
        <v>2811104180</v>
      </c>
      <c r="T172" s="39" t="str">
        <f>QDrops!E53</f>
        <v>20 / ¾"</v>
      </c>
      <c r="U172" s="40" t="str">
        <f>QDrops!F53</f>
        <v>(1) / 1/2" NPT (single port)</v>
      </c>
      <c r="V172" s="39">
        <v>1</v>
      </c>
    </row>
    <row r="173" spans="2:22" ht="14.5" hidden="1">
      <c r="B173" s="257" t="str">
        <f>IF(ISERROR(VLOOKUP(L185,$M$6:$V$612,7,0)),"",(VLOOKUP(L185,$M$6:$V775,7,0)))</f>
        <v/>
      </c>
      <c r="C173" s="115" t="str">
        <f t="shared" si="41"/>
        <v/>
      </c>
      <c r="D173" s="114" t="str">
        <f t="shared" si="42"/>
        <v/>
      </c>
      <c r="E173" s="115" t="str">
        <f t="shared" si="43"/>
        <v/>
      </c>
      <c r="F173" s="114" t="str">
        <f t="shared" si="44"/>
        <v/>
      </c>
      <c r="G173" s="116" t="str">
        <f t="shared" si="45"/>
        <v/>
      </c>
      <c r="H173" s="117" t="str">
        <f t="shared" si="46"/>
        <v/>
      </c>
      <c r="I173" s="113" t="str">
        <f t="shared" si="47"/>
        <v/>
      </c>
      <c r="L173" s="36">
        <v>168</v>
      </c>
      <c r="M173" s="39">
        <f t="shared" si="40"/>
        <v>0</v>
      </c>
      <c r="N173" s="6" t="s">
        <v>333</v>
      </c>
      <c r="O173" s="41"/>
      <c r="P173" s="39">
        <f>QDrops!H54</f>
        <v>0</v>
      </c>
      <c r="Q173" s="95">
        <f>QDrops!I54</f>
        <v>36.799999999999997</v>
      </c>
      <c r="R173" s="95">
        <f>QDrops!K54</f>
        <v>0</v>
      </c>
      <c r="S173" s="39">
        <f>QDrops!D54</f>
        <v>2811204180</v>
      </c>
      <c r="T173" s="39" t="str">
        <f>QDrops!E54</f>
        <v>25 / 1"</v>
      </c>
      <c r="U173" s="40" t="str">
        <f>QDrops!F54</f>
        <v>(1) / 1/2" NPT (single port)</v>
      </c>
      <c r="V173" s="39">
        <v>1</v>
      </c>
    </row>
    <row r="174" spans="2:22" ht="14.5" hidden="1">
      <c r="B174" s="257" t="str">
        <f>IF(ISERROR(VLOOKUP(L186,$M$6:$V$612,7,0)),"",(VLOOKUP(L186,$M$6:$V776,7,0)))</f>
        <v/>
      </c>
      <c r="C174" s="115" t="str">
        <f t="shared" si="41"/>
        <v/>
      </c>
      <c r="D174" s="114" t="str">
        <f t="shared" si="42"/>
        <v/>
      </c>
      <c r="E174" s="115" t="str">
        <f t="shared" si="43"/>
        <v/>
      </c>
      <c r="F174" s="114" t="str">
        <f t="shared" si="44"/>
        <v/>
      </c>
      <c r="G174" s="116" t="str">
        <f t="shared" si="45"/>
        <v/>
      </c>
      <c r="H174" s="117" t="str">
        <f t="shared" si="46"/>
        <v/>
      </c>
      <c r="I174" s="113" t="str">
        <f t="shared" si="47"/>
        <v/>
      </c>
      <c r="L174" s="36">
        <v>169</v>
      </c>
      <c r="M174" s="39">
        <f t="shared" si="40"/>
        <v>0</v>
      </c>
      <c r="N174" s="6" t="s">
        <v>333</v>
      </c>
      <c r="O174" s="41"/>
      <c r="P174" s="39">
        <f>QDrops!H55</f>
        <v>0</v>
      </c>
      <c r="Q174" s="164">
        <f>QDrops!I55</f>
        <v>92.44</v>
      </c>
      <c r="R174" s="95">
        <f>QDrops!K55</f>
        <v>0</v>
      </c>
      <c r="S174" s="39">
        <f>QDrops!D55</f>
        <v>2811104380</v>
      </c>
      <c r="T174" s="39" t="str">
        <f>QDrops!E55</f>
        <v>20 / ¾"</v>
      </c>
      <c r="U174" s="40" t="str">
        <f>QDrops!F55</f>
        <v>(1) / 1/2" NPT (new 6 port)</v>
      </c>
      <c r="V174" s="39">
        <v>1</v>
      </c>
    </row>
    <row r="175" spans="2:22" ht="14.5" hidden="1">
      <c r="B175" s="257" t="str">
        <f>IF(ISERROR(VLOOKUP(L187,$M$6:$V$612,7,0)),"",(VLOOKUP(L187,$M$6:$V777,7,0)))</f>
        <v/>
      </c>
      <c r="C175" s="115" t="str">
        <f t="shared" si="41"/>
        <v/>
      </c>
      <c r="D175" s="114" t="str">
        <f t="shared" si="42"/>
        <v/>
      </c>
      <c r="E175" s="115" t="str">
        <f t="shared" si="43"/>
        <v/>
      </c>
      <c r="F175" s="114" t="str">
        <f t="shared" si="44"/>
        <v/>
      </c>
      <c r="G175" s="116" t="str">
        <f t="shared" si="45"/>
        <v/>
      </c>
      <c r="H175" s="117" t="str">
        <f t="shared" si="46"/>
        <v/>
      </c>
      <c r="I175" s="113" t="str">
        <f t="shared" si="47"/>
        <v/>
      </c>
      <c r="L175" s="36">
        <v>170</v>
      </c>
      <c r="M175" s="39">
        <f t="shared" si="40"/>
        <v>0</v>
      </c>
      <c r="N175" s="6" t="s">
        <v>333</v>
      </c>
      <c r="O175" s="41"/>
      <c r="P175" s="39">
        <f>QDrops!H56</f>
        <v>0</v>
      </c>
      <c r="Q175" s="164">
        <f>QDrops!I56</f>
        <v>110.63</v>
      </c>
      <c r="R175" s="95">
        <f>QDrops!K56</f>
        <v>0</v>
      </c>
      <c r="S175" s="39">
        <f>QDrops!D56</f>
        <v>2811204380</v>
      </c>
      <c r="T175" s="39" t="str">
        <f>QDrops!E56</f>
        <v>25 / 1"</v>
      </c>
      <c r="U175" s="40" t="str">
        <f>QDrops!F56</f>
        <v>(1) / 1/2" NPT (new 6 port)</v>
      </c>
      <c r="V175" s="39">
        <v>1</v>
      </c>
    </row>
    <row r="176" spans="2:22" ht="14.5" hidden="1">
      <c r="B176" s="257" t="str">
        <f>IF(ISERROR(VLOOKUP(L188,$M$6:$V$612,7,0)),"",(VLOOKUP(L188,$M$6:$V778,7,0)))</f>
        <v/>
      </c>
      <c r="C176" s="115" t="str">
        <f t="shared" si="41"/>
        <v/>
      </c>
      <c r="D176" s="114" t="str">
        <f t="shared" si="42"/>
        <v/>
      </c>
      <c r="E176" s="115" t="str">
        <f t="shared" si="43"/>
        <v/>
      </c>
      <c r="F176" s="114" t="str">
        <f t="shared" si="44"/>
        <v/>
      </c>
      <c r="G176" s="116" t="str">
        <f t="shared" si="45"/>
        <v/>
      </c>
      <c r="H176" s="117" t="str">
        <f t="shared" si="46"/>
        <v/>
      </c>
      <c r="I176" s="113" t="str">
        <f t="shared" si="47"/>
        <v/>
      </c>
      <c r="L176" s="36">
        <v>171</v>
      </c>
      <c r="M176" s="39">
        <f t="shared" si="40"/>
        <v>0</v>
      </c>
      <c r="N176" s="18"/>
      <c r="O176" s="41"/>
      <c r="P176" s="87"/>
      <c r="Q176" s="96"/>
      <c r="R176" s="96"/>
      <c r="S176" s="87"/>
      <c r="T176" s="87"/>
      <c r="U176" s="18"/>
      <c r="V176" s="87"/>
    </row>
    <row r="177" spans="2:22" ht="14.5" hidden="1">
      <c r="B177" s="257" t="str">
        <f>IF(ISERROR(VLOOKUP(L189,$M$6:$V$612,7,0)),"",(VLOOKUP(L189,$M$6:$V779,7,0)))</f>
        <v/>
      </c>
      <c r="C177" s="115" t="str">
        <f t="shared" si="41"/>
        <v/>
      </c>
      <c r="D177" s="114" t="str">
        <f t="shared" si="42"/>
        <v/>
      </c>
      <c r="E177" s="115" t="str">
        <f t="shared" si="43"/>
        <v/>
      </c>
      <c r="F177" s="114" t="str">
        <f t="shared" si="44"/>
        <v/>
      </c>
      <c r="G177" s="116" t="str">
        <f t="shared" si="45"/>
        <v/>
      </c>
      <c r="H177" s="117" t="str">
        <f t="shared" si="46"/>
        <v/>
      </c>
      <c r="I177" s="113" t="str">
        <f t="shared" si="47"/>
        <v/>
      </c>
      <c r="L177" s="36">
        <v>172</v>
      </c>
      <c r="M177" s="39">
        <f t="shared" si="40"/>
        <v>0</v>
      </c>
      <c r="N177" s="6" t="s">
        <v>334</v>
      </c>
      <c r="O177" s="41"/>
      <c r="P177" s="165">
        <f>QDrops!H58</f>
        <v>0</v>
      </c>
      <c r="Q177" s="166">
        <f>QDrops!I58</f>
        <v>34.17</v>
      </c>
      <c r="R177" s="166">
        <f>QDrops!K58</f>
        <v>0</v>
      </c>
      <c r="S177" s="165">
        <f>QDrops!D58</f>
        <v>2811002680</v>
      </c>
      <c r="T177" s="165" t="str">
        <f>QDrops!E58</f>
        <v>1/2" NPT</v>
      </c>
      <c r="U177" s="118" t="str">
        <f>QDrops!F58</f>
        <v>1/2" NPT</v>
      </c>
      <c r="V177" s="165">
        <v>1</v>
      </c>
    </row>
    <row r="178" spans="2:22" ht="14.5" hidden="1">
      <c r="B178" s="257" t="str">
        <f>IF(ISERROR(VLOOKUP(L190,$M$6:$V$612,7,0)),"",(VLOOKUP(L190,$M$6:$V780,7,0)))</f>
        <v/>
      </c>
      <c r="C178" s="115" t="str">
        <f t="shared" si="41"/>
        <v/>
      </c>
      <c r="D178" s="114" t="str">
        <f t="shared" si="42"/>
        <v/>
      </c>
      <c r="E178" s="115" t="str">
        <f t="shared" si="43"/>
        <v/>
      </c>
      <c r="F178" s="114" t="str">
        <f t="shared" si="44"/>
        <v/>
      </c>
      <c r="G178" s="116" t="str">
        <f t="shared" si="45"/>
        <v/>
      </c>
      <c r="H178" s="117" t="str">
        <f t="shared" si="46"/>
        <v/>
      </c>
      <c r="I178" s="113" t="str">
        <f t="shared" si="47"/>
        <v/>
      </c>
      <c r="L178" s="36">
        <v>173</v>
      </c>
      <c r="M178" s="39">
        <f t="shared" si="40"/>
        <v>0</v>
      </c>
      <c r="N178" s="6" t="s">
        <v>334</v>
      </c>
      <c r="O178" s="41"/>
      <c r="P178" s="165">
        <f>QDrops!H59</f>
        <v>0</v>
      </c>
      <c r="Q178" s="166">
        <f>QDrops!I59</f>
        <v>34.78</v>
      </c>
      <c r="R178" s="166">
        <f>QDrops!K59</f>
        <v>0</v>
      </c>
      <c r="S178" s="165">
        <f>QDrops!D59</f>
        <v>2811102680</v>
      </c>
      <c r="T178" s="165" t="str">
        <f>QDrops!E59</f>
        <v>3/4"NPT</v>
      </c>
      <c r="U178" s="118" t="str">
        <f>QDrops!F59</f>
        <v>1/2" NPT</v>
      </c>
      <c r="V178" s="165">
        <v>1</v>
      </c>
    </row>
    <row r="179" spans="2:22" ht="14.5" hidden="1">
      <c r="B179" s="257" t="str">
        <f>IF(ISERROR(VLOOKUP(L191,$M$6:$V$612,7,0)),"",(VLOOKUP(L191,$M$6:$V781,7,0)))</f>
        <v/>
      </c>
      <c r="C179" s="115" t="str">
        <f t="shared" si="41"/>
        <v/>
      </c>
      <c r="D179" s="114" t="str">
        <f t="shared" si="42"/>
        <v/>
      </c>
      <c r="E179" s="115" t="str">
        <f t="shared" si="43"/>
        <v/>
      </c>
      <c r="F179" s="114" t="str">
        <f t="shared" si="44"/>
        <v/>
      </c>
      <c r="G179" s="116" t="str">
        <f t="shared" si="45"/>
        <v/>
      </c>
      <c r="H179" s="117" t="str">
        <f t="shared" si="46"/>
        <v/>
      </c>
      <c r="I179" s="113" t="str">
        <f t="shared" si="47"/>
        <v/>
      </c>
      <c r="L179" s="36">
        <v>174</v>
      </c>
      <c r="M179" s="39">
        <f t="shared" si="40"/>
        <v>0</v>
      </c>
      <c r="N179" s="18"/>
      <c r="O179" s="41"/>
      <c r="P179" s="87"/>
      <c r="Q179" s="96"/>
      <c r="R179" s="96"/>
      <c r="S179" s="87"/>
      <c r="T179" s="87"/>
      <c r="U179" s="18"/>
      <c r="V179" s="87"/>
    </row>
    <row r="180" spans="2:22" ht="14.5" hidden="1">
      <c r="B180" s="257" t="str">
        <f>IF(ISERROR(VLOOKUP(L192,$M$6:$V$612,7,0)),"",(VLOOKUP(L192,$M$6:$V782,7,0)))</f>
        <v/>
      </c>
      <c r="C180" s="115" t="str">
        <f t="shared" si="41"/>
        <v/>
      </c>
      <c r="D180" s="114" t="str">
        <f t="shared" si="42"/>
        <v/>
      </c>
      <c r="E180" s="115" t="str">
        <f t="shared" si="43"/>
        <v/>
      </c>
      <c r="F180" s="114" t="str">
        <f t="shared" si="44"/>
        <v/>
      </c>
      <c r="G180" s="116" t="str">
        <f t="shared" si="45"/>
        <v/>
      </c>
      <c r="H180" s="117" t="str">
        <f t="shared" si="46"/>
        <v/>
      </c>
      <c r="I180" s="113" t="str">
        <f t="shared" si="47"/>
        <v/>
      </c>
      <c r="L180" s="36">
        <v>175</v>
      </c>
      <c r="M180" s="39">
        <f t="shared" si="40"/>
        <v>0</v>
      </c>
      <c r="N180" s="18"/>
      <c r="O180" s="41"/>
      <c r="P180" s="87"/>
      <c r="Q180" s="96"/>
      <c r="R180" s="96"/>
      <c r="S180" s="87"/>
      <c r="T180" s="87"/>
      <c r="U180" s="18"/>
      <c r="V180" s="87"/>
    </row>
    <row r="181" spans="2:22" ht="14.5" hidden="1">
      <c r="B181" s="257" t="str">
        <f>IF(ISERROR(VLOOKUP(L193,$M$6:$V$612,7,0)),"",(VLOOKUP(L193,$M$6:$V783,7,0)))</f>
        <v/>
      </c>
      <c r="C181" s="115" t="str">
        <f t="shared" si="41"/>
        <v/>
      </c>
      <c r="D181" s="114" t="str">
        <f t="shared" si="42"/>
        <v/>
      </c>
      <c r="E181" s="115" t="str">
        <f t="shared" si="43"/>
        <v/>
      </c>
      <c r="F181" s="114" t="str">
        <f t="shared" si="44"/>
        <v/>
      </c>
      <c r="G181" s="116" t="str">
        <f t="shared" si="45"/>
        <v/>
      </c>
      <c r="H181" s="117" t="str">
        <f t="shared" si="46"/>
        <v/>
      </c>
      <c r="I181" s="113" t="str">
        <f t="shared" si="47"/>
        <v/>
      </c>
      <c r="L181" s="36">
        <v>176</v>
      </c>
      <c r="M181" s="39">
        <f t="shared" si="40"/>
        <v>0</v>
      </c>
      <c r="N181" s="6" t="s">
        <v>446</v>
      </c>
      <c r="O181" s="41"/>
      <c r="P181" s="39">
        <f>QDrops!H63</f>
        <v>0</v>
      </c>
      <c r="Q181" s="95">
        <f>QDrops!I63</f>
        <v>7.14</v>
      </c>
      <c r="R181" s="95">
        <f>QDrops!K63</f>
        <v>0</v>
      </c>
      <c r="S181" s="39">
        <f>QDrops!D63</f>
        <v>2811007502</v>
      </c>
      <c r="T181" s="39" t="str">
        <f>QDrops!E63</f>
        <v>1/2" Male NPT</v>
      </c>
      <c r="U181" s="40" t="str">
        <f>QDrops!F63</f>
        <v>Package quantity-2</v>
      </c>
      <c r="V181" s="39">
        <v>2</v>
      </c>
    </row>
    <row r="182" spans="2:22" ht="14.5" hidden="1">
      <c r="B182" s="257" t="str">
        <f>IF(ISERROR(VLOOKUP(L194,$M$6:$V$612,7,0)),"",(VLOOKUP(L194,$M$6:$V784,7,0)))</f>
        <v/>
      </c>
      <c r="C182" s="115" t="str">
        <f t="shared" si="41"/>
        <v/>
      </c>
      <c r="D182" s="114" t="str">
        <f t="shared" si="42"/>
        <v/>
      </c>
      <c r="E182" s="115" t="str">
        <f t="shared" si="43"/>
        <v/>
      </c>
      <c r="F182" s="114" t="str">
        <f t="shared" si="44"/>
        <v/>
      </c>
      <c r="G182" s="116" t="str">
        <f t="shared" si="45"/>
        <v/>
      </c>
      <c r="H182" s="117" t="str">
        <f t="shared" si="46"/>
        <v/>
      </c>
      <c r="I182" s="113" t="str">
        <f t="shared" si="47"/>
        <v/>
      </c>
      <c r="L182" s="36">
        <v>177</v>
      </c>
      <c r="M182" s="39">
        <f t="shared" si="40"/>
        <v>0</v>
      </c>
      <c r="N182" s="41"/>
      <c r="O182" s="41"/>
      <c r="P182" s="86"/>
      <c r="Q182" s="97"/>
      <c r="R182" s="97"/>
      <c r="S182" s="86"/>
      <c r="T182" s="86"/>
      <c r="U182" s="41"/>
      <c r="V182" s="86"/>
    </row>
    <row r="183" spans="2:22" ht="14.5" hidden="1">
      <c r="B183" s="257" t="str">
        <f>IF(ISERROR(VLOOKUP(L195,$M$6:$V$612,7,0)),"",(VLOOKUP(L195,$M$6:$V785,7,0)))</f>
        <v/>
      </c>
      <c r="C183" s="115" t="str">
        <f t="shared" si="41"/>
        <v/>
      </c>
      <c r="D183" s="114" t="str">
        <f t="shared" si="42"/>
        <v/>
      </c>
      <c r="E183" s="115" t="str">
        <f t="shared" si="43"/>
        <v/>
      </c>
      <c r="F183" s="114" t="str">
        <f t="shared" si="44"/>
        <v/>
      </c>
      <c r="G183" s="116" t="str">
        <f t="shared" si="45"/>
        <v/>
      </c>
      <c r="H183" s="117" t="str">
        <f t="shared" si="46"/>
        <v/>
      </c>
      <c r="I183" s="113" t="str">
        <f t="shared" si="47"/>
        <v/>
      </c>
      <c r="L183" s="36">
        <v>178</v>
      </c>
      <c r="M183" s="39">
        <f t="shared" si="40"/>
        <v>0</v>
      </c>
      <c r="N183" s="40" t="s">
        <v>292</v>
      </c>
      <c r="O183" s="41"/>
      <c r="P183" s="39">
        <f>'VALVES &amp; FLANGES'!H4</f>
        <v>0</v>
      </c>
      <c r="Q183" s="164" t="e">
        <f>'VALVES &amp; FLANGES'!I4</f>
        <v>#REF!</v>
      </c>
      <c r="R183" s="95" t="e">
        <f>'VALVES &amp; FLANGES'!K4</f>
        <v>#REF!</v>
      </c>
      <c r="S183" s="39">
        <f>'VALVES &amp; FLANGES'!D4</f>
        <v>0</v>
      </c>
      <c r="T183" s="40">
        <f>'VALVES &amp; FLANGES'!E4</f>
        <v>0</v>
      </c>
      <c r="U183" s="40" t="str">
        <f>'VALVES &amp; FLANGES'!F4</f>
        <v>(Flanges are included)</v>
      </c>
      <c r="V183" s="39">
        <v>1</v>
      </c>
    </row>
    <row r="184" spans="2:22" ht="14.5" hidden="1">
      <c r="B184" s="257" t="str">
        <f>IF(ISERROR(VLOOKUP(L196,$M$6:$V$612,7,0)),"",(VLOOKUP(L196,$M$6:$V786,7,0)))</f>
        <v/>
      </c>
      <c r="C184" s="115" t="str">
        <f t="shared" si="41"/>
        <v/>
      </c>
      <c r="D184" s="114" t="str">
        <f t="shared" si="42"/>
        <v/>
      </c>
      <c r="E184" s="115" t="str">
        <f t="shared" si="43"/>
        <v/>
      </c>
      <c r="F184" s="114" t="str">
        <f t="shared" si="44"/>
        <v/>
      </c>
      <c r="G184" s="116" t="str">
        <f t="shared" si="45"/>
        <v/>
      </c>
      <c r="H184" s="117" t="str">
        <f t="shared" si="46"/>
        <v/>
      </c>
      <c r="I184" s="113" t="str">
        <f t="shared" si="47"/>
        <v/>
      </c>
      <c r="L184" s="36">
        <v>179</v>
      </c>
      <c r="M184" s="39">
        <f t="shared" si="40"/>
        <v>0</v>
      </c>
      <c r="N184" s="40" t="s">
        <v>292</v>
      </c>
      <c r="O184" s="41"/>
      <c r="P184" s="39">
        <f>'VALVES &amp; FLANGES'!H5</f>
        <v>0</v>
      </c>
      <c r="Q184" s="164" t="e">
        <f>'VALVES &amp; FLANGES'!I5</f>
        <v>#REF!</v>
      </c>
      <c r="R184" s="95" t="e">
        <f>'VALVES &amp; FLANGES'!K5</f>
        <v>#REF!</v>
      </c>
      <c r="S184" s="39">
        <f>'VALVES &amp; FLANGES'!D5</f>
        <v>0</v>
      </c>
      <c r="T184" s="40">
        <f>'VALVES &amp; FLANGES'!E5</f>
        <v>0</v>
      </c>
      <c r="U184" s="40" t="str">
        <f>'VALVES &amp; FLANGES'!F5</f>
        <v>(Flanges are included)</v>
      </c>
      <c r="V184" s="39">
        <v>1</v>
      </c>
    </row>
    <row r="185" spans="2:22" ht="14.5" hidden="1">
      <c r="B185" s="257" t="str">
        <f>IF(ISERROR(VLOOKUP(L197,$M$6:$V$612,7,0)),"",(VLOOKUP(L197,$M$6:$V787,7,0)))</f>
        <v/>
      </c>
      <c r="C185" s="115" t="str">
        <f t="shared" si="41"/>
        <v/>
      </c>
      <c r="D185" s="114" t="str">
        <f t="shared" si="42"/>
        <v/>
      </c>
      <c r="E185" s="115" t="str">
        <f t="shared" si="43"/>
        <v/>
      </c>
      <c r="F185" s="114" t="str">
        <f t="shared" si="44"/>
        <v/>
      </c>
      <c r="G185" s="116" t="str">
        <f t="shared" si="45"/>
        <v/>
      </c>
      <c r="H185" s="117" t="str">
        <f t="shared" si="46"/>
        <v/>
      </c>
      <c r="I185" s="113" t="str">
        <f t="shared" si="47"/>
        <v/>
      </c>
      <c r="L185" s="36">
        <v>180</v>
      </c>
      <c r="M185" s="39">
        <f t="shared" si="40"/>
        <v>0</v>
      </c>
      <c r="N185" s="40" t="s">
        <v>292</v>
      </c>
      <c r="O185" s="41"/>
      <c r="P185" s="39">
        <f>'VALVES &amp; FLANGES'!H6</f>
        <v>0</v>
      </c>
      <c r="Q185" s="95" t="e">
        <f>'VALVES &amp; FLANGES'!I6</f>
        <v>#REF!</v>
      </c>
      <c r="R185" s="95" t="e">
        <f>'VALVES &amp; FLANGES'!K6</f>
        <v>#REF!</v>
      </c>
      <c r="S185" s="39">
        <f>'VALVES &amp; FLANGES'!D6</f>
        <v>0</v>
      </c>
      <c r="T185" s="40">
        <f>'VALVES &amp; FLANGES'!E6</f>
        <v>0</v>
      </c>
      <c r="U185" s="40" t="str">
        <f>'VALVES &amp; FLANGES'!F6</f>
        <v>(Valve Only) - requires flange / bolt sets</v>
      </c>
      <c r="V185" s="39">
        <v>1</v>
      </c>
    </row>
    <row r="186" spans="2:22" ht="14.5" hidden="1">
      <c r="B186" s="257" t="str">
        <f>IF(ISERROR(VLOOKUP(L198,$M$6:$V$612,7,0)),"",(VLOOKUP(L198,$M$6:$V788,7,0)))</f>
        <v/>
      </c>
      <c r="C186" s="115" t="str">
        <f t="shared" si="41"/>
        <v/>
      </c>
      <c r="D186" s="114" t="str">
        <f t="shared" si="42"/>
        <v/>
      </c>
      <c r="E186" s="115" t="str">
        <f t="shared" si="43"/>
        <v/>
      </c>
      <c r="F186" s="114" t="str">
        <f t="shared" si="44"/>
        <v/>
      </c>
      <c r="G186" s="116" t="str">
        <f t="shared" si="45"/>
        <v/>
      </c>
      <c r="H186" s="117" t="str">
        <f t="shared" si="46"/>
        <v/>
      </c>
      <c r="I186" s="113" t="str">
        <f t="shared" si="47"/>
        <v/>
      </c>
      <c r="L186" s="36">
        <v>181</v>
      </c>
      <c r="M186" s="39">
        <f t="shared" si="40"/>
        <v>0</v>
      </c>
      <c r="N186" s="40" t="s">
        <v>292</v>
      </c>
      <c r="O186" s="41"/>
      <c r="P186" s="39">
        <f>'VALVES &amp; FLANGES'!H7</f>
        <v>0</v>
      </c>
      <c r="Q186" s="95" t="e">
        <f>'VALVES &amp; FLANGES'!I7</f>
        <v>#REF!</v>
      </c>
      <c r="R186" s="95" t="e">
        <f>'VALVES &amp; FLANGES'!K7</f>
        <v>#REF!</v>
      </c>
      <c r="S186" s="39">
        <f>'VALVES &amp; FLANGES'!D7</f>
        <v>0</v>
      </c>
      <c r="T186" s="40">
        <f>'VALVES &amp; FLANGES'!E7</f>
        <v>0</v>
      </c>
      <c r="U186" s="40" t="str">
        <f>'VALVES &amp; FLANGES'!F7</f>
        <v>(Valve Only) - requires flange / bolt sets</v>
      </c>
      <c r="V186" s="39">
        <v>1</v>
      </c>
    </row>
    <row r="187" spans="2:22" ht="14.5" hidden="1">
      <c r="B187" s="257" t="str">
        <f>IF(ISERROR(VLOOKUP(L199,$M$6:$V$612,7,0)),"",(VLOOKUP(L199,$M$6:$V789,7,0)))</f>
        <v/>
      </c>
      <c r="C187" s="115" t="str">
        <f t="shared" si="41"/>
        <v/>
      </c>
      <c r="D187" s="114" t="str">
        <f t="shared" si="42"/>
        <v/>
      </c>
      <c r="E187" s="115" t="str">
        <f t="shared" si="43"/>
        <v/>
      </c>
      <c r="F187" s="114" t="str">
        <f t="shared" si="44"/>
        <v/>
      </c>
      <c r="G187" s="116" t="str">
        <f t="shared" si="45"/>
        <v/>
      </c>
      <c r="H187" s="117" t="str">
        <f t="shared" si="46"/>
        <v/>
      </c>
      <c r="I187" s="113" t="str">
        <f t="shared" si="47"/>
        <v/>
      </c>
      <c r="L187" s="36">
        <v>182</v>
      </c>
      <c r="M187" s="39">
        <f t="shared" si="40"/>
        <v>0</v>
      </c>
      <c r="N187" s="18"/>
      <c r="O187" s="41"/>
      <c r="P187" s="87">
        <f>'VALVES &amp; FLANGES'!H8</f>
        <v>0</v>
      </c>
      <c r="Q187" s="96">
        <f>'VALVES &amp; FLANGES'!I8</f>
        <v>0</v>
      </c>
      <c r="R187" s="96">
        <f>'VALVES &amp; FLANGES'!K8</f>
        <v>0</v>
      </c>
      <c r="S187" s="87">
        <f>'VALVES &amp; FLANGES'!D8</f>
        <v>0</v>
      </c>
      <c r="T187" s="18">
        <f>'VALVES &amp; FLANGES'!E8</f>
        <v>0</v>
      </c>
      <c r="U187" s="18">
        <f>'VALVES &amp; FLANGES'!F8</f>
        <v>0</v>
      </c>
      <c r="V187" s="87"/>
    </row>
    <row r="188" spans="2:22" ht="14.5" hidden="1">
      <c r="B188" s="257" t="str">
        <f>IF(ISERROR(VLOOKUP(L200,$M$6:$V$612,7,0)),"",(VLOOKUP(L200,$M$6:$V790,7,0)))</f>
        <v/>
      </c>
      <c r="C188" s="115" t="str">
        <f t="shared" si="41"/>
        <v/>
      </c>
      <c r="D188" s="114" t="str">
        <f t="shared" si="42"/>
        <v/>
      </c>
      <c r="E188" s="115" t="str">
        <f t="shared" si="43"/>
        <v/>
      </c>
      <c r="F188" s="114" t="str">
        <f t="shared" si="44"/>
        <v/>
      </c>
      <c r="G188" s="116" t="str">
        <f t="shared" si="45"/>
        <v/>
      </c>
      <c r="H188" s="117" t="str">
        <f t="shared" si="46"/>
        <v/>
      </c>
      <c r="I188" s="113" t="str">
        <f t="shared" si="47"/>
        <v/>
      </c>
      <c r="L188" s="36">
        <v>183</v>
      </c>
      <c r="M188" s="39">
        <f t="shared" si="40"/>
        <v>0</v>
      </c>
      <c r="N188" s="18"/>
      <c r="O188" s="41"/>
      <c r="P188" s="87">
        <f>'VALVES &amp; FLANGES'!H9</f>
        <v>0</v>
      </c>
      <c r="Q188" s="96">
        <f>'VALVES &amp; FLANGES'!I9</f>
        <v>0</v>
      </c>
      <c r="R188" s="96">
        <f>'VALVES &amp; FLANGES'!K9</f>
        <v>0</v>
      </c>
      <c r="S188" s="87">
        <f>'VALVES &amp; FLANGES'!D9</f>
        <v>0</v>
      </c>
      <c r="T188" s="18">
        <f>'VALVES &amp; FLANGES'!E9</f>
        <v>0</v>
      </c>
      <c r="U188" s="18">
        <f>'VALVES &amp; FLANGES'!F9</f>
        <v>0</v>
      </c>
      <c r="V188" s="87"/>
    </row>
    <row r="189" spans="2:22" ht="14.5" hidden="1">
      <c r="B189" s="257" t="str">
        <f>IF(ISERROR(VLOOKUP(L201,$M$6:$V$612,7,0)),"",(VLOOKUP(L201,$M$6:$V791,7,0)))</f>
        <v/>
      </c>
      <c r="C189" s="115" t="str">
        <f t="shared" si="41"/>
        <v/>
      </c>
      <c r="D189" s="114" t="str">
        <f t="shared" si="42"/>
        <v/>
      </c>
      <c r="E189" s="115" t="str">
        <f t="shared" si="43"/>
        <v/>
      </c>
      <c r="F189" s="114" t="str">
        <f t="shared" si="44"/>
        <v/>
      </c>
      <c r="G189" s="116" t="str">
        <f t="shared" si="45"/>
        <v/>
      </c>
      <c r="H189" s="117" t="str">
        <f t="shared" si="46"/>
        <v/>
      </c>
      <c r="I189" s="113" t="str">
        <f t="shared" si="47"/>
        <v/>
      </c>
      <c r="L189" s="36">
        <v>184</v>
      </c>
      <c r="M189" s="39">
        <f t="shared" si="40"/>
        <v>0</v>
      </c>
      <c r="N189" s="40" t="s">
        <v>292</v>
      </c>
      <c r="O189" s="41"/>
      <c r="P189" s="39">
        <f>'VALVES &amp; FLANGES'!H10</f>
        <v>0</v>
      </c>
      <c r="Q189" s="164" t="e">
        <f>'VALVES &amp; FLANGES'!I10</f>
        <v>#REF!</v>
      </c>
      <c r="R189" s="95" t="e">
        <f>'VALVES &amp; FLANGES'!K10</f>
        <v>#REF!</v>
      </c>
      <c r="S189" s="39">
        <f>'VALVES &amp; FLANGES'!D10</f>
        <v>0</v>
      </c>
      <c r="T189" s="40">
        <f>'VALVES &amp; FLANGES'!E10</f>
        <v>0</v>
      </c>
      <c r="U189" s="40" t="str">
        <f>'VALVES &amp; FLANGES'!F10</f>
        <v>(Flanges are included)</v>
      </c>
      <c r="V189" s="39">
        <v>1</v>
      </c>
    </row>
    <row r="190" spans="2:22" ht="14.5" hidden="1">
      <c r="B190" s="257" t="str">
        <f>IF(ISERROR(VLOOKUP(L202,$M$6:$V$612,7,0)),"",(VLOOKUP(L202,$M$6:$V792,7,0)))</f>
        <v/>
      </c>
      <c r="C190" s="115" t="str">
        <f t="shared" si="41"/>
        <v/>
      </c>
      <c r="D190" s="114" t="str">
        <f t="shared" si="42"/>
        <v/>
      </c>
      <c r="E190" s="115" t="str">
        <f t="shared" si="43"/>
        <v/>
      </c>
      <c r="F190" s="114" t="str">
        <f t="shared" si="44"/>
        <v/>
      </c>
      <c r="G190" s="116" t="str">
        <f t="shared" si="45"/>
        <v/>
      </c>
      <c r="H190" s="117" t="str">
        <f t="shared" si="46"/>
        <v/>
      </c>
      <c r="I190" s="113" t="str">
        <f t="shared" si="47"/>
        <v/>
      </c>
      <c r="L190" s="36">
        <v>185</v>
      </c>
      <c r="M190" s="39">
        <f t="shared" si="40"/>
        <v>0</v>
      </c>
      <c r="N190" s="40" t="s">
        <v>292</v>
      </c>
      <c r="O190" s="41"/>
      <c r="P190" s="39">
        <f>'VALVES &amp; FLANGES'!H11</f>
        <v>0</v>
      </c>
      <c r="Q190" s="164" t="e">
        <f>'VALVES &amp; FLANGES'!I11</f>
        <v>#REF!</v>
      </c>
      <c r="R190" s="95" t="e">
        <f>'VALVES &amp; FLANGES'!K11</f>
        <v>#REF!</v>
      </c>
      <c r="S190" s="39">
        <f>'VALVES &amp; FLANGES'!D11</f>
        <v>0</v>
      </c>
      <c r="T190" s="40">
        <f>'VALVES &amp; FLANGES'!E11</f>
        <v>0</v>
      </c>
      <c r="U190" s="40" t="str">
        <f>'VALVES &amp; FLANGES'!F11</f>
        <v>(Flanges are included)</v>
      </c>
      <c r="V190" s="39">
        <v>1</v>
      </c>
    </row>
    <row r="191" spans="2:22" ht="14.5" hidden="1">
      <c r="B191" s="257" t="str">
        <f>IF(ISERROR(VLOOKUP(L203,$M$6:$V$612,7,0)),"",(VLOOKUP(L203,$M$6:$V793,7,0)))</f>
        <v/>
      </c>
      <c r="C191" s="115" t="str">
        <f t="shared" si="41"/>
        <v/>
      </c>
      <c r="D191" s="114" t="str">
        <f t="shared" si="42"/>
        <v/>
      </c>
      <c r="E191" s="115" t="str">
        <f t="shared" si="43"/>
        <v/>
      </c>
      <c r="F191" s="114" t="str">
        <f t="shared" si="44"/>
        <v/>
      </c>
      <c r="G191" s="116" t="str">
        <f t="shared" si="45"/>
        <v/>
      </c>
      <c r="H191" s="117" t="str">
        <f t="shared" si="46"/>
        <v/>
      </c>
      <c r="I191" s="113" t="str">
        <f t="shared" si="47"/>
        <v/>
      </c>
      <c r="L191" s="36">
        <v>186</v>
      </c>
      <c r="M191" s="39">
        <f t="shared" si="40"/>
        <v>0</v>
      </c>
      <c r="N191" s="18"/>
      <c r="O191" s="41"/>
      <c r="P191" s="87">
        <f>'VALVES &amp; FLANGES'!H12</f>
        <v>0</v>
      </c>
      <c r="Q191" s="96"/>
      <c r="R191" s="96"/>
      <c r="S191" s="87">
        <f>'VALVES &amp; FLANGES'!D12</f>
        <v>0</v>
      </c>
      <c r="T191" s="18">
        <f>'VALVES &amp; FLANGES'!E12</f>
        <v>0</v>
      </c>
      <c r="U191" s="18">
        <f>'VALVES &amp; FLANGES'!F12</f>
        <v>0</v>
      </c>
      <c r="V191" s="87"/>
    </row>
    <row r="192" spans="2:22" ht="14.5" hidden="1">
      <c r="B192" s="257" t="str">
        <f>IF(ISERROR(VLOOKUP(L212,$M$6:$V$612,7,0)),"",(VLOOKUP(L212,$M$6:$V794,7,0)))</f>
        <v/>
      </c>
      <c r="C192" s="115" t="str">
        <f t="shared" ref="C192:C197" si="48">IF(ISERROR(VLOOKUP(L212,$M$6:$V$612,2,0)),"",(VLOOKUP(L212,$M$6:$V$612,2,0)))</f>
        <v/>
      </c>
      <c r="D192" s="114" t="str">
        <f t="shared" ref="D192:D197" si="49">IF(ISERROR(VLOOKUP(L212,$M$6:$V$612,8,0)),"",(VLOOKUP(L212,$M$6:$V$612,8,0)))</f>
        <v/>
      </c>
      <c r="E192" s="115" t="str">
        <f t="shared" ref="E192:E197" si="50">IF(ISERROR(VLOOKUP(L212,$M$6:$V$612,9,FALSE)),"",(VLOOKUP(L212,$M$6:$V$612,9,0)))</f>
        <v/>
      </c>
      <c r="F192" s="114" t="str">
        <f t="shared" ref="F192:F197" si="51">IF(ISERROR(VLOOKUP(L212,$M$6:$V$612,10,0)),"",(VLOOKUP(L212,$M$6:$V$612,10,0)))</f>
        <v/>
      </c>
      <c r="G192" s="116" t="str">
        <f t="shared" ref="G192:G197" si="52">IF(ISERROR(VLOOKUP(L212,$M$6:$V$612,5,0)),"",(VLOOKUP(L212,$M$6:$V$612,5,0)))</f>
        <v/>
      </c>
      <c r="H192" s="117" t="str">
        <f t="shared" ref="H192:H197" si="53">IF(ISERROR(VLOOKUP(L212,$M$6:$V$612,4,0)),"",(VLOOKUP(L212,$M$6:$V$612,4,0)))</f>
        <v/>
      </c>
      <c r="I192" s="113" t="str">
        <f t="shared" ref="I192:I197" si="54">IF(ISERROR(VLOOKUP(L212,$M$6:$V$612,6,0)),"",(VLOOKUP(L212,$M$6:$V$612,6,0)))</f>
        <v/>
      </c>
      <c r="L192" s="36">
        <v>187</v>
      </c>
      <c r="M192" s="39">
        <f t="shared" si="40"/>
        <v>0</v>
      </c>
      <c r="N192" s="18"/>
      <c r="O192" s="41"/>
      <c r="P192" s="87">
        <f>'VALVES &amp; FLANGES'!H13</f>
        <v>0</v>
      </c>
      <c r="Q192" s="96"/>
      <c r="R192" s="96"/>
      <c r="S192" s="87">
        <f>'VALVES &amp; FLANGES'!D13</f>
        <v>0</v>
      </c>
      <c r="T192" s="18">
        <f>'VALVES &amp; FLANGES'!E13</f>
        <v>0</v>
      </c>
      <c r="U192" s="18">
        <f>'VALVES &amp; FLANGES'!F13</f>
        <v>0</v>
      </c>
      <c r="V192" s="87"/>
    </row>
    <row r="193" spans="2:22" ht="14.5" hidden="1">
      <c r="B193" s="257" t="str">
        <f>IF(ISERROR(VLOOKUP(L213,$M$6:$V$612,7,0)),"",(VLOOKUP(L213,$M$6:$V795,7,0)))</f>
        <v/>
      </c>
      <c r="C193" s="115" t="str">
        <f t="shared" si="48"/>
        <v/>
      </c>
      <c r="D193" s="114" t="str">
        <f t="shared" si="49"/>
        <v/>
      </c>
      <c r="E193" s="115" t="str">
        <f t="shared" si="50"/>
        <v/>
      </c>
      <c r="F193" s="114" t="str">
        <f t="shared" si="51"/>
        <v/>
      </c>
      <c r="G193" s="116" t="str">
        <f t="shared" si="52"/>
        <v/>
      </c>
      <c r="H193" s="117" t="str">
        <f t="shared" si="53"/>
        <v/>
      </c>
      <c r="I193" s="113" t="str">
        <f t="shared" si="54"/>
        <v/>
      </c>
      <c r="L193" s="36">
        <v>188</v>
      </c>
      <c r="M193" s="39">
        <f t="shared" si="40"/>
        <v>0</v>
      </c>
      <c r="N193" s="18"/>
      <c r="O193" s="41"/>
      <c r="P193" s="87">
        <f>'VALVES &amp; FLANGES'!H14</f>
        <v>0</v>
      </c>
      <c r="Q193" s="96"/>
      <c r="R193" s="96"/>
      <c r="S193" s="87">
        <f>'VALVES &amp; FLANGES'!D14</f>
        <v>0</v>
      </c>
      <c r="T193" s="18">
        <f>'VALVES &amp; FLANGES'!E14</f>
        <v>0</v>
      </c>
      <c r="U193" s="18">
        <f>'VALVES &amp; FLANGES'!F14</f>
        <v>0</v>
      </c>
      <c r="V193" s="87"/>
    </row>
    <row r="194" spans="2:22" ht="14.5" hidden="1">
      <c r="B194" s="257" t="str">
        <f>IF(ISERROR(VLOOKUP(L214,$M$6:$V$612,7,0)),"",(VLOOKUP(L214,$M$6:$V796,7,0)))</f>
        <v/>
      </c>
      <c r="C194" s="115" t="str">
        <f t="shared" si="48"/>
        <v/>
      </c>
      <c r="D194" s="114" t="str">
        <f t="shared" si="49"/>
        <v/>
      </c>
      <c r="E194" s="115" t="str">
        <f t="shared" si="50"/>
        <v/>
      </c>
      <c r="F194" s="114" t="str">
        <f t="shared" si="51"/>
        <v/>
      </c>
      <c r="G194" s="116" t="str">
        <f t="shared" si="52"/>
        <v/>
      </c>
      <c r="H194" s="117" t="str">
        <f t="shared" si="53"/>
        <v/>
      </c>
      <c r="I194" s="113" t="str">
        <f t="shared" si="54"/>
        <v/>
      </c>
      <c r="L194" s="36">
        <v>189</v>
      </c>
      <c r="M194" s="39">
        <f t="shared" si="40"/>
        <v>0</v>
      </c>
      <c r="N194" s="18"/>
      <c r="O194" s="41"/>
      <c r="P194" s="87">
        <f>'VALVES &amp; FLANGES'!H15</f>
        <v>0</v>
      </c>
      <c r="Q194" s="96"/>
      <c r="R194" s="96"/>
      <c r="S194" s="87">
        <f>'VALVES &amp; FLANGES'!D15</f>
        <v>0</v>
      </c>
      <c r="T194" s="18">
        <f>'VALVES &amp; FLANGES'!E15</f>
        <v>0</v>
      </c>
      <c r="U194" s="18">
        <f>'VALVES &amp; FLANGES'!F15</f>
        <v>0</v>
      </c>
      <c r="V194" s="87"/>
    </row>
    <row r="195" spans="2:22" ht="14.5" hidden="1">
      <c r="B195" s="257" t="str">
        <f>IF(ISERROR(VLOOKUP(L215,$M$6:$V$612,7,0)),"",(VLOOKUP(L215,$M$6:$V797,7,0)))</f>
        <v/>
      </c>
      <c r="C195" s="115" t="str">
        <f t="shared" si="48"/>
        <v/>
      </c>
      <c r="D195" s="114" t="str">
        <f t="shared" si="49"/>
        <v/>
      </c>
      <c r="E195" s="115" t="str">
        <f t="shared" si="50"/>
        <v/>
      </c>
      <c r="F195" s="114" t="str">
        <f t="shared" si="51"/>
        <v/>
      </c>
      <c r="G195" s="116" t="str">
        <f t="shared" si="52"/>
        <v/>
      </c>
      <c r="H195" s="117" t="str">
        <f t="shared" si="53"/>
        <v/>
      </c>
      <c r="I195" s="113" t="str">
        <f t="shared" si="54"/>
        <v/>
      </c>
      <c r="L195" s="36">
        <v>190</v>
      </c>
      <c r="M195" s="39">
        <f t="shared" si="40"/>
        <v>0</v>
      </c>
      <c r="N195" s="40" t="s">
        <v>292</v>
      </c>
      <c r="O195" s="41"/>
      <c r="P195" s="39">
        <f>'VALVES &amp; FLANGES'!H16</f>
        <v>0</v>
      </c>
      <c r="Q195" s="95">
        <f>'VALVES &amp; FLANGES'!I16</f>
        <v>72.2</v>
      </c>
      <c r="R195" s="95">
        <f>'VALVES &amp; FLANGES'!K16</f>
        <v>0</v>
      </c>
      <c r="S195" s="39">
        <f>'VALVES &amp; FLANGES'!D16</f>
        <v>2811105181</v>
      </c>
      <c r="T195" s="40" t="str">
        <f>'VALVES &amp; FLANGES'!E16</f>
        <v>20 / ¾"</v>
      </c>
      <c r="U195" s="40" t="str">
        <f>'VALVES &amp; FLANGES'!F16</f>
        <v>AIRnet x AIRnet Connections</v>
      </c>
      <c r="V195" s="39">
        <v>1</v>
      </c>
    </row>
    <row r="196" spans="2:22" ht="14.5" hidden="1">
      <c r="B196" s="257" t="str">
        <f>IF(ISERROR(VLOOKUP(L216,$M$6:$V$612,7,0)),"",(VLOOKUP(L216,$M$6:$V798,7,0)))</f>
        <v/>
      </c>
      <c r="C196" s="115" t="str">
        <f t="shared" si="48"/>
        <v/>
      </c>
      <c r="D196" s="114" t="str">
        <f t="shared" si="49"/>
        <v/>
      </c>
      <c r="E196" s="115" t="str">
        <f t="shared" si="50"/>
        <v/>
      </c>
      <c r="F196" s="114" t="str">
        <f t="shared" si="51"/>
        <v/>
      </c>
      <c r="G196" s="116" t="str">
        <f t="shared" si="52"/>
        <v/>
      </c>
      <c r="H196" s="117" t="str">
        <f t="shared" si="53"/>
        <v/>
      </c>
      <c r="I196" s="113" t="str">
        <f t="shared" si="54"/>
        <v/>
      </c>
      <c r="L196" s="36">
        <v>191</v>
      </c>
      <c r="M196" s="39">
        <f t="shared" si="40"/>
        <v>0</v>
      </c>
      <c r="N196" s="40" t="s">
        <v>292</v>
      </c>
      <c r="O196" s="41"/>
      <c r="P196" s="39">
        <f>'VALVES &amp; FLANGES'!H17</f>
        <v>0</v>
      </c>
      <c r="Q196" s="95">
        <f>'VALVES &amp; FLANGES'!I17</f>
        <v>86.87</v>
      </c>
      <c r="R196" s="95">
        <f>'VALVES &amp; FLANGES'!K17</f>
        <v>0</v>
      </c>
      <c r="S196" s="39">
        <f>'VALVES &amp; FLANGES'!D17</f>
        <v>2811205181</v>
      </c>
      <c r="T196" s="40" t="str">
        <f>'VALVES &amp; FLANGES'!E17</f>
        <v>25 / 1"</v>
      </c>
      <c r="U196" s="40" t="str">
        <f>'VALVES &amp; FLANGES'!F17</f>
        <v>AIRnet x AIRnet Connections</v>
      </c>
      <c r="V196" s="39">
        <v>1</v>
      </c>
    </row>
    <row r="197" spans="2:22" ht="14.5" hidden="1">
      <c r="B197" s="257" t="str">
        <f>IF(ISERROR(VLOOKUP(L217,$M$6:$V$612,7,0)),"",(VLOOKUP(L217,$M$6:$V799,7,0)))</f>
        <v/>
      </c>
      <c r="C197" s="115" t="str">
        <f t="shared" si="48"/>
        <v/>
      </c>
      <c r="D197" s="114" t="str">
        <f t="shared" si="49"/>
        <v/>
      </c>
      <c r="E197" s="115" t="str">
        <f t="shared" si="50"/>
        <v/>
      </c>
      <c r="F197" s="114" t="str">
        <f t="shared" si="51"/>
        <v/>
      </c>
      <c r="G197" s="116" t="str">
        <f t="shared" si="52"/>
        <v/>
      </c>
      <c r="H197" s="117" t="str">
        <f t="shared" si="53"/>
        <v/>
      </c>
      <c r="I197" s="113" t="str">
        <f t="shared" si="54"/>
        <v/>
      </c>
      <c r="L197" s="36">
        <v>192</v>
      </c>
      <c r="M197" s="39">
        <f t="shared" si="40"/>
        <v>0</v>
      </c>
      <c r="N197" s="40" t="s">
        <v>292</v>
      </c>
      <c r="O197" s="41"/>
      <c r="P197" s="39">
        <f>'VALVES &amp; FLANGES'!H18</f>
        <v>0</v>
      </c>
      <c r="Q197" s="95">
        <f>'VALVES &amp; FLANGES'!I18</f>
        <v>125.16</v>
      </c>
      <c r="R197" s="95">
        <f>'VALVES &amp; FLANGES'!K18</f>
        <v>0</v>
      </c>
      <c r="S197" s="39">
        <f>'VALVES &amp; FLANGES'!D18</f>
        <v>2811405181</v>
      </c>
      <c r="T197" s="40" t="str">
        <f>'VALVES &amp; FLANGES'!E18</f>
        <v>40 / 1½"</v>
      </c>
      <c r="U197" s="40" t="str">
        <f>'VALVES &amp; FLANGES'!F18</f>
        <v>AIRnet x AIRnet Connections</v>
      </c>
      <c r="V197" s="39">
        <v>1</v>
      </c>
    </row>
    <row r="198" spans="2:22" ht="14.5" hidden="1">
      <c r="B198" s="257"/>
      <c r="C198" s="115"/>
      <c r="D198" s="114"/>
      <c r="E198" s="115"/>
      <c r="F198" s="114"/>
      <c r="G198" s="116"/>
      <c r="H198" s="117"/>
      <c r="I198" s="113"/>
      <c r="L198" s="36">
        <v>193</v>
      </c>
      <c r="M198" s="39">
        <f t="shared" si="40"/>
        <v>0</v>
      </c>
      <c r="N198" s="40" t="s">
        <v>292</v>
      </c>
      <c r="O198" s="41"/>
      <c r="P198" s="39">
        <f>'VALVES &amp; FLANGES'!H19</f>
        <v>0</v>
      </c>
      <c r="Q198" s="95">
        <f>'VALVES &amp; FLANGES'!I19</f>
        <v>200.45</v>
      </c>
      <c r="R198" s="95">
        <f>'VALVES &amp; FLANGES'!K19</f>
        <v>0</v>
      </c>
      <c r="S198" s="39">
        <f>'VALVES &amp; FLANGES'!D19</f>
        <v>2811505181</v>
      </c>
      <c r="T198" s="40" t="str">
        <f>'VALVES &amp; FLANGES'!E19</f>
        <v>50 / 2"</v>
      </c>
      <c r="U198" s="40" t="str">
        <f>'VALVES &amp; FLANGES'!F19</f>
        <v>AIRnet x AIRnet Connections</v>
      </c>
      <c r="V198" s="39">
        <v>1</v>
      </c>
    </row>
    <row r="199" spans="2:22" ht="14.5" hidden="1">
      <c r="B199" s="257"/>
      <c r="C199" s="115"/>
      <c r="D199" s="114"/>
      <c r="E199" s="115"/>
      <c r="F199" s="114"/>
      <c r="G199" s="116"/>
      <c r="H199" s="117"/>
      <c r="I199" s="113"/>
      <c r="L199" s="36">
        <v>194</v>
      </c>
      <c r="M199" s="39">
        <f t="shared" si="40"/>
        <v>0</v>
      </c>
      <c r="N199" s="18"/>
      <c r="O199" s="41"/>
      <c r="P199" s="87">
        <f>'VALVES &amp; FLANGES'!H20</f>
        <v>0</v>
      </c>
      <c r="Q199" s="96">
        <f>'VALVES &amp; FLANGES'!I20</f>
        <v>0</v>
      </c>
      <c r="R199" s="96">
        <f>'VALVES &amp; FLANGES'!K20</f>
        <v>0</v>
      </c>
      <c r="S199" s="87">
        <f>'VALVES &amp; FLANGES'!D20</f>
        <v>0</v>
      </c>
      <c r="T199" s="18">
        <f>'VALVES &amp; FLANGES'!E20</f>
        <v>0</v>
      </c>
      <c r="U199" s="18">
        <f>'VALVES &amp; FLANGES'!F20</f>
        <v>0</v>
      </c>
      <c r="V199" s="87"/>
    </row>
    <row r="200" spans="2:22" ht="14.5" hidden="1">
      <c r="B200" s="257"/>
      <c r="C200" s="115"/>
      <c r="D200" s="114"/>
      <c r="E200" s="115"/>
      <c r="F200" s="114"/>
      <c r="G200" s="116"/>
      <c r="H200" s="117"/>
      <c r="I200" s="113"/>
      <c r="L200" s="36">
        <v>195</v>
      </c>
      <c r="M200" s="39">
        <f t="shared" si="40"/>
        <v>0</v>
      </c>
      <c r="N200" s="40" t="s">
        <v>292</v>
      </c>
      <c r="O200" s="41"/>
      <c r="P200" s="39">
        <f>'VALVES &amp; FLANGES'!H21</f>
        <v>0</v>
      </c>
      <c r="Q200" s="95">
        <f>'VALVES &amp; FLANGES'!I21</f>
        <v>57.75</v>
      </c>
      <c r="R200" s="95">
        <f>'VALVES &amp; FLANGES'!K21</f>
        <v>0</v>
      </c>
      <c r="S200" s="39">
        <f>'VALVES &amp; FLANGES'!D21</f>
        <v>2811115381</v>
      </c>
      <c r="T200" s="40" t="str">
        <f>'VALVES &amp; FLANGES'!E21</f>
        <v>3/4" / 3/4" NPT</v>
      </c>
      <c r="U200" s="40" t="str">
        <f>'VALVES &amp; FLANGES'!F21</f>
        <v>AIRnet x NPT Connections</v>
      </c>
      <c r="V200" s="39">
        <v>1</v>
      </c>
    </row>
    <row r="201" spans="2:22" ht="14.5" hidden="1">
      <c r="B201" s="257"/>
      <c r="C201" s="115"/>
      <c r="D201" s="114"/>
      <c r="E201" s="115"/>
      <c r="F201" s="114"/>
      <c r="G201" s="116"/>
      <c r="H201" s="117"/>
      <c r="I201" s="113"/>
      <c r="L201" s="36">
        <v>196</v>
      </c>
      <c r="M201" s="39">
        <f t="shared" si="40"/>
        <v>0</v>
      </c>
      <c r="N201" s="40" t="s">
        <v>292</v>
      </c>
      <c r="O201" s="41"/>
      <c r="P201" s="39">
        <f>'VALVES &amp; FLANGES'!H22</f>
        <v>0</v>
      </c>
      <c r="Q201" s="95">
        <f>'VALVES &amp; FLANGES'!I22</f>
        <v>89.26</v>
      </c>
      <c r="R201" s="95">
        <f>'VALVES &amp; FLANGES'!K22</f>
        <v>0</v>
      </c>
      <c r="S201" s="39">
        <f>'VALVES &amp; FLANGES'!D22</f>
        <v>2811225381</v>
      </c>
      <c r="T201" s="40" t="str">
        <f>'VALVES &amp; FLANGES'!E22</f>
        <v>1" / 1" NPT</v>
      </c>
      <c r="U201" s="40" t="str">
        <f>'VALVES &amp; FLANGES'!F22</f>
        <v>AIRnet x NPT Connections</v>
      </c>
      <c r="V201" s="39">
        <v>1</v>
      </c>
    </row>
    <row r="202" spans="2:22" ht="14.5" hidden="1">
      <c r="B202" s="257"/>
      <c r="C202" s="115"/>
      <c r="D202" s="114"/>
      <c r="E202" s="115"/>
      <c r="F202" s="114"/>
      <c r="G202" s="116"/>
      <c r="H202" s="117"/>
      <c r="I202" s="113"/>
      <c r="L202" s="36">
        <v>197</v>
      </c>
      <c r="M202" s="39">
        <f t="shared" si="40"/>
        <v>0</v>
      </c>
      <c r="N202" s="40" t="s">
        <v>292</v>
      </c>
      <c r="O202" s="41"/>
      <c r="P202" s="39">
        <f>'VALVES &amp; FLANGES'!H23</f>
        <v>0</v>
      </c>
      <c r="Q202" s="95">
        <f>'VALVES &amp; FLANGES'!I23</f>
        <v>122.05</v>
      </c>
      <c r="R202" s="95">
        <f>'VALVES &amp; FLANGES'!K23</f>
        <v>0</v>
      </c>
      <c r="S202" s="39">
        <f>'VALVES &amp; FLANGES'!D23</f>
        <v>2811445381</v>
      </c>
      <c r="T202" s="40" t="str">
        <f>'VALVES &amp; FLANGES'!E23</f>
        <v>1 1/2" / 1 1/2" NPT</v>
      </c>
      <c r="U202" s="40" t="str">
        <f>'VALVES &amp; FLANGES'!F23</f>
        <v>AIRnet x NPT Connections</v>
      </c>
      <c r="V202" s="39">
        <v>1</v>
      </c>
    </row>
    <row r="203" spans="2:22" ht="14.5" hidden="1">
      <c r="B203" s="257"/>
      <c r="C203" s="115"/>
      <c r="D203" s="114"/>
      <c r="E203" s="115"/>
      <c r="F203" s="114"/>
      <c r="G203" s="116"/>
      <c r="H203" s="117"/>
      <c r="I203" s="113"/>
      <c r="L203" s="36">
        <v>198</v>
      </c>
      <c r="M203" s="39">
        <f t="shared" si="40"/>
        <v>0</v>
      </c>
      <c r="N203" s="40" t="s">
        <v>292</v>
      </c>
      <c r="O203" s="41"/>
      <c r="P203" s="39">
        <f>'VALVES &amp; FLANGES'!H24</f>
        <v>0</v>
      </c>
      <c r="Q203" s="95">
        <f>'VALVES &amp; FLANGES'!I24</f>
        <v>173.71</v>
      </c>
      <c r="R203" s="95">
        <f>'VALVES &amp; FLANGES'!K24</f>
        <v>0</v>
      </c>
      <c r="S203" s="39">
        <f>'VALVES &amp; FLANGES'!D24</f>
        <v>2811555381</v>
      </c>
      <c r="T203" s="40" t="str">
        <f>'VALVES &amp; FLANGES'!E24</f>
        <v>2" / 2" NPT</v>
      </c>
      <c r="U203" s="40" t="str">
        <f>'VALVES &amp; FLANGES'!F24</f>
        <v>AIRnet x NPT Connections</v>
      </c>
      <c r="V203" s="39">
        <v>1</v>
      </c>
    </row>
    <row r="204" spans="2:22" ht="14.5" hidden="1">
      <c r="B204" s="257"/>
      <c r="C204" s="115"/>
      <c r="D204" s="114"/>
      <c r="E204" s="115"/>
      <c r="F204" s="114"/>
      <c r="G204" s="116"/>
      <c r="H204" s="117"/>
      <c r="I204" s="113"/>
      <c r="L204" s="36">
        <v>199</v>
      </c>
      <c r="M204" s="39">
        <f t="shared" si="40"/>
        <v>0</v>
      </c>
      <c r="N204" t="s">
        <v>292</v>
      </c>
      <c r="P204" s="2">
        <f>'VALVES &amp; FLANGES'!H25</f>
        <v>0</v>
      </c>
      <c r="Q204" s="101">
        <f>'VALVES &amp; FLANGES'!I25</f>
        <v>0</v>
      </c>
      <c r="R204" s="101">
        <f>'VALVES &amp; FLANGES'!K25</f>
        <v>0</v>
      </c>
      <c r="S204" s="2">
        <f>'VALVES &amp; FLANGES'!D25</f>
        <v>0</v>
      </c>
      <c r="T204">
        <f>'VALVES &amp; FLANGES'!E25</f>
        <v>0</v>
      </c>
      <c r="U204">
        <f>'VALVES &amp; FLANGES'!F25</f>
        <v>0</v>
      </c>
    </row>
    <row r="205" spans="2:22" ht="14.5" hidden="1">
      <c r="B205" s="257"/>
      <c r="C205" s="115"/>
      <c r="D205" s="114"/>
      <c r="E205" s="115"/>
      <c r="F205" s="114"/>
      <c r="G205" s="116"/>
      <c r="H205" s="117"/>
      <c r="I205" s="113"/>
      <c r="L205" s="36">
        <v>200</v>
      </c>
      <c r="M205" s="39">
        <f t="shared" si="40"/>
        <v>0</v>
      </c>
      <c r="N205" t="s">
        <v>292</v>
      </c>
      <c r="P205" s="2">
        <f>'VALVES &amp; FLANGES'!H26</f>
        <v>0</v>
      </c>
      <c r="Q205" s="101">
        <f>'VALVES &amp; FLANGES'!I26</f>
        <v>0</v>
      </c>
      <c r="R205" s="101">
        <f>'VALVES &amp; FLANGES'!K26</f>
        <v>0</v>
      </c>
      <c r="S205" s="2">
        <f>'VALVES &amp; FLANGES'!D26</f>
        <v>0</v>
      </c>
      <c r="T205">
        <f>'VALVES &amp; FLANGES'!E26</f>
        <v>0</v>
      </c>
      <c r="U205">
        <f>'VALVES &amp; FLANGES'!F26</f>
        <v>0</v>
      </c>
    </row>
    <row r="206" spans="2:22" ht="14.5" hidden="1">
      <c r="B206" s="257" t="str">
        <f>IF(ISERROR(VLOOKUP(L218,$M$6:$V$612,7,0)),"",(VLOOKUP(L218,$M$6:$V800,7,0)))</f>
        <v/>
      </c>
      <c r="C206" s="115" t="str">
        <f t="shared" ref="C206:C242" si="55">IF(ISERROR(VLOOKUP(L218,$M$6:$V$612,2,0)),"",(VLOOKUP(L218,$M$6:$V$612,2,0)))</f>
        <v/>
      </c>
      <c r="D206" s="114" t="str">
        <f t="shared" ref="D206:D242" si="56">IF(ISERROR(VLOOKUP(L218,$M$6:$V$612,8,0)),"",(VLOOKUP(L218,$M$6:$V$612,8,0)))</f>
        <v/>
      </c>
      <c r="E206" s="115" t="str">
        <f t="shared" ref="E206:E242" si="57">IF(ISERROR(VLOOKUP(L218,$M$6:$V$612,9,FALSE)),"",(VLOOKUP(L218,$M$6:$V$612,9,0)))</f>
        <v/>
      </c>
      <c r="F206" s="114" t="str">
        <f t="shared" ref="F206:F242" si="58">IF(ISERROR(VLOOKUP(L218,$M$6:$V$612,10,0)),"",(VLOOKUP(L218,$M$6:$V$612,10,0)))</f>
        <v/>
      </c>
      <c r="G206" s="116" t="str">
        <f t="shared" ref="G206:G242" si="59">IF(ISERROR(VLOOKUP(L218,$M$6:$V$612,5,0)),"",(VLOOKUP(L218,$M$6:$V$612,5,0)))</f>
        <v/>
      </c>
      <c r="H206" s="117" t="str">
        <f t="shared" ref="H206:H242" si="60">IF(ISERROR(VLOOKUP(L218,$M$6:$V$612,4,0)),"",(VLOOKUP(L218,$M$6:$V$612,4,0)))</f>
        <v/>
      </c>
      <c r="I206" s="113" t="str">
        <f t="shared" ref="I206:I242" si="61">IF(ISERROR(VLOOKUP(L218,$M$6:$V$612,6,0)),"",(VLOOKUP(L218,$M$6:$V$612,6,0)))</f>
        <v/>
      </c>
      <c r="L206" s="36">
        <v>201</v>
      </c>
      <c r="M206" s="39">
        <f t="shared" si="40"/>
        <v>0</v>
      </c>
      <c r="N206" s="40" t="s">
        <v>292</v>
      </c>
      <c r="O206" s="41"/>
      <c r="P206" s="39">
        <f>'VALVES &amp; FLANGES'!H27</f>
        <v>0</v>
      </c>
      <c r="Q206" s="95">
        <f>'VALVES &amp; FLANGES'!I27</f>
        <v>17.87</v>
      </c>
      <c r="R206" s="95">
        <f>'VALVES &amp; FLANGES'!K27</f>
        <v>0</v>
      </c>
      <c r="S206" s="39">
        <f>'VALVES &amp; FLANGES'!D27</f>
        <v>2811125100</v>
      </c>
      <c r="T206" s="40" t="str">
        <f>'VALVES &amp; FLANGES'!E27</f>
        <v>20-25mm / 3/4" - 1"</v>
      </c>
      <c r="U206" s="40" t="str">
        <f>'VALVES &amp; FLANGES'!F27</f>
        <v>Locking handle</v>
      </c>
      <c r="V206" s="39">
        <v>1</v>
      </c>
    </row>
    <row r="207" spans="2:22" ht="14.5" hidden="1">
      <c r="B207" s="257" t="str">
        <f>IF(ISERROR(VLOOKUP(L219,$M$6:$V$612,7,0)),"",(VLOOKUP(L219,$M$6:$V801,7,0)))</f>
        <v/>
      </c>
      <c r="C207" s="115" t="str">
        <f t="shared" si="55"/>
        <v/>
      </c>
      <c r="D207" s="114" t="str">
        <f t="shared" si="56"/>
        <v/>
      </c>
      <c r="E207" s="115" t="str">
        <f t="shared" si="57"/>
        <v/>
      </c>
      <c r="F207" s="114" t="str">
        <f t="shared" si="58"/>
        <v/>
      </c>
      <c r="G207" s="116" t="str">
        <f t="shared" si="59"/>
        <v/>
      </c>
      <c r="H207" s="117" t="str">
        <f t="shared" si="60"/>
        <v/>
      </c>
      <c r="I207" s="113" t="str">
        <f t="shared" si="61"/>
        <v/>
      </c>
      <c r="L207" s="36">
        <v>202</v>
      </c>
      <c r="M207" s="39">
        <f t="shared" si="40"/>
        <v>0</v>
      </c>
      <c r="N207" s="40" t="s">
        <v>292</v>
      </c>
      <c r="O207" s="41"/>
      <c r="P207" s="39">
        <f>'VALVES &amp; FLANGES'!H28</f>
        <v>0</v>
      </c>
      <c r="Q207" s="95">
        <f>'VALVES &amp; FLANGES'!I28</f>
        <v>27.67</v>
      </c>
      <c r="R207" s="95">
        <f>'VALVES &amp; FLANGES'!K28</f>
        <v>0</v>
      </c>
      <c r="S207" s="39">
        <f>'VALVES &amp; FLANGES'!D28</f>
        <v>2811455100</v>
      </c>
      <c r="T207" s="40" t="str">
        <f>'VALVES &amp; FLANGES'!E28</f>
        <v>40-50mm / 1 1/2" - 2"</v>
      </c>
      <c r="U207" s="40" t="str">
        <f>'VALVES &amp; FLANGES'!F28</f>
        <v>Locking Handle</v>
      </c>
      <c r="V207" s="39">
        <v>1</v>
      </c>
    </row>
    <row r="208" spans="2:22" ht="14.5" hidden="1">
      <c r="B208" s="257" t="str">
        <f>IF(ISERROR(VLOOKUP(L220,$M$6:$V$612,7,0)),"",(VLOOKUP(L220,$M$6:$V802,7,0)))</f>
        <v/>
      </c>
      <c r="C208" s="115" t="str">
        <f t="shared" si="55"/>
        <v/>
      </c>
      <c r="D208" s="114" t="str">
        <f t="shared" si="56"/>
        <v/>
      </c>
      <c r="E208" s="115" t="str">
        <f t="shared" si="57"/>
        <v/>
      </c>
      <c r="F208" s="114" t="str">
        <f t="shared" si="58"/>
        <v/>
      </c>
      <c r="G208" s="116" t="str">
        <f t="shared" si="59"/>
        <v/>
      </c>
      <c r="H208" s="117" t="str">
        <f t="shared" si="60"/>
        <v/>
      </c>
      <c r="I208" s="113" t="str">
        <f t="shared" si="61"/>
        <v/>
      </c>
      <c r="L208" s="36">
        <v>203</v>
      </c>
      <c r="M208" s="39">
        <f t="shared" si="40"/>
        <v>0</v>
      </c>
      <c r="N208" t="s">
        <v>292</v>
      </c>
      <c r="P208" s="2">
        <f>'VALVES &amp; FLANGES'!H29</f>
        <v>0</v>
      </c>
      <c r="Q208" s="101">
        <f>'VALVES &amp; FLANGES'!I29</f>
        <v>0</v>
      </c>
      <c r="R208" s="101">
        <f>'VALVES &amp; FLANGES'!K29</f>
        <v>0</v>
      </c>
      <c r="S208" s="2">
        <f>'VALVES &amp; FLANGES'!D29</f>
        <v>0</v>
      </c>
      <c r="T208">
        <f>'VALVES &amp; FLANGES'!E29</f>
        <v>0</v>
      </c>
      <c r="U208">
        <f>'VALVES &amp; FLANGES'!F29</f>
        <v>0</v>
      </c>
    </row>
    <row r="209" spans="2:22" ht="14.5" hidden="1">
      <c r="B209" s="257" t="str">
        <f>IF(ISERROR(VLOOKUP(L221,$M$6:$V$612,7,0)),"",(VLOOKUP(L221,$M$6:$V803,7,0)))</f>
        <v/>
      </c>
      <c r="C209" s="115" t="str">
        <f t="shared" si="55"/>
        <v/>
      </c>
      <c r="D209" s="114" t="str">
        <f t="shared" si="56"/>
        <v/>
      </c>
      <c r="E209" s="115" t="str">
        <f t="shared" si="57"/>
        <v/>
      </c>
      <c r="F209" s="114" t="str">
        <f t="shared" si="58"/>
        <v/>
      </c>
      <c r="G209" s="116" t="str">
        <f t="shared" si="59"/>
        <v/>
      </c>
      <c r="H209" s="117" t="str">
        <f t="shared" si="60"/>
        <v/>
      </c>
      <c r="I209" s="113" t="str">
        <f t="shared" si="61"/>
        <v/>
      </c>
      <c r="L209" s="36">
        <v>204</v>
      </c>
      <c r="M209" s="39">
        <f t="shared" si="40"/>
        <v>0</v>
      </c>
      <c r="N209" t="s">
        <v>292</v>
      </c>
      <c r="P209" s="2">
        <f>'VALVES &amp; FLANGES'!H30</f>
        <v>0</v>
      </c>
      <c r="Q209" s="101">
        <f>'VALVES &amp; FLANGES'!I30</f>
        <v>0</v>
      </c>
      <c r="R209" s="101">
        <f>'VALVES &amp; FLANGES'!K30</f>
        <v>0</v>
      </c>
      <c r="S209" s="2">
        <f>'VALVES &amp; FLANGES'!D30</f>
        <v>0</v>
      </c>
      <c r="T209">
        <f>'VALVES &amp; FLANGES'!E30</f>
        <v>0</v>
      </c>
    </row>
    <row r="210" spans="2:22" ht="14.5" hidden="1">
      <c r="B210" s="257" t="str">
        <f>IF(ISERROR(VLOOKUP(L222,$M$6:$V$612,7,0)),"",(VLOOKUP(L222,$M$6:$V804,7,0)))</f>
        <v/>
      </c>
      <c r="C210" s="115" t="str">
        <f t="shared" si="55"/>
        <v/>
      </c>
      <c r="D210" s="114" t="str">
        <f t="shared" si="56"/>
        <v/>
      </c>
      <c r="E210" s="115" t="str">
        <f t="shared" si="57"/>
        <v/>
      </c>
      <c r="F210" s="114" t="str">
        <f t="shared" si="58"/>
        <v/>
      </c>
      <c r="G210" s="116" t="str">
        <f t="shared" si="59"/>
        <v/>
      </c>
      <c r="H210" s="117" t="str">
        <f t="shared" si="60"/>
        <v/>
      </c>
      <c r="I210" s="113" t="str">
        <f t="shared" si="61"/>
        <v/>
      </c>
      <c r="L210" s="36">
        <v>205</v>
      </c>
      <c r="M210" s="39">
        <f t="shared" si="40"/>
        <v>0</v>
      </c>
      <c r="N210" s="40" t="s">
        <v>292</v>
      </c>
      <c r="O210" s="41"/>
      <c r="P210" s="39">
        <f>'VALVES &amp; FLANGES'!H31</f>
        <v>0</v>
      </c>
      <c r="Q210" s="95">
        <f>'VALVES &amp; FLANGES'!I31</f>
        <v>23.38</v>
      </c>
      <c r="R210" s="95">
        <f>'VALVES &amp; FLANGES'!K31</f>
        <v>0</v>
      </c>
      <c r="S210" s="39">
        <f>'VALVES &amp; FLANGES'!D31</f>
        <v>1310072363</v>
      </c>
      <c r="T210" s="40" t="str">
        <f>'VALVES &amp; FLANGES'!E31</f>
        <v>1/2"m x 1/2"f</v>
      </c>
      <c r="U210" s="40" t="str">
        <f>'VALVES &amp; FLANGES'!F31</f>
        <v>NPT x NPT connections</v>
      </c>
      <c r="V210" s="39">
        <v>1</v>
      </c>
    </row>
    <row r="211" spans="2:22" ht="14.5" hidden="1">
      <c r="B211" s="257" t="str">
        <f>IF(ISERROR(VLOOKUP(L223,$M$6:$V$612,7,0)),"",(VLOOKUP(L223,$M$6:$V805,7,0)))</f>
        <v/>
      </c>
      <c r="C211" s="115" t="str">
        <f t="shared" si="55"/>
        <v/>
      </c>
      <c r="D211" s="114" t="str">
        <f t="shared" si="56"/>
        <v/>
      </c>
      <c r="E211" s="115" t="str">
        <f t="shared" si="57"/>
        <v/>
      </c>
      <c r="F211" s="114" t="str">
        <f t="shared" si="58"/>
        <v/>
      </c>
      <c r="G211" s="116" t="str">
        <f t="shared" si="59"/>
        <v/>
      </c>
      <c r="H211" s="117" t="str">
        <f t="shared" si="60"/>
        <v/>
      </c>
      <c r="I211" s="113" t="str">
        <f t="shared" si="61"/>
        <v/>
      </c>
      <c r="L211" s="36">
        <v>206</v>
      </c>
      <c r="M211" s="39">
        <f t="shared" si="40"/>
        <v>0</v>
      </c>
      <c r="N211" s="40" t="s">
        <v>292</v>
      </c>
      <c r="O211" s="41"/>
      <c r="P211" s="39">
        <f>'VALVES &amp; FLANGES'!H32</f>
        <v>0</v>
      </c>
      <c r="Q211" s="95">
        <f>'VALVES &amp; FLANGES'!I32</f>
        <v>21.67</v>
      </c>
      <c r="R211" s="95">
        <f>'VALVES &amp; FLANGES'!K32</f>
        <v>0</v>
      </c>
      <c r="S211" s="39">
        <f>'VALVES &amp; FLANGES'!D32</f>
        <v>1310072884</v>
      </c>
      <c r="T211" s="40" t="str">
        <f>'VALVES &amp; FLANGES'!E32</f>
        <v>3/4"m x 3/4" f</v>
      </c>
      <c r="U211" s="40" t="str">
        <f>'VALVES &amp; FLANGES'!F32</f>
        <v>NPT x NPT connections</v>
      </c>
      <c r="V211" s="39">
        <v>1</v>
      </c>
    </row>
    <row r="212" spans="2:22" ht="14.5" hidden="1">
      <c r="B212" s="257" t="str">
        <f>IF(ISERROR(VLOOKUP(L224,$M$6:$V$612,7,0)),"",(VLOOKUP(L224,$M$6:$V806,7,0)))</f>
        <v/>
      </c>
      <c r="C212" s="115" t="str">
        <f t="shared" si="55"/>
        <v/>
      </c>
      <c r="D212" s="114" t="str">
        <f t="shared" si="56"/>
        <v/>
      </c>
      <c r="E212" s="115" t="str">
        <f t="shared" si="57"/>
        <v/>
      </c>
      <c r="F212" s="114" t="str">
        <f t="shared" si="58"/>
        <v/>
      </c>
      <c r="G212" s="116" t="str">
        <f t="shared" si="59"/>
        <v/>
      </c>
      <c r="H212" s="117" t="str">
        <f t="shared" si="60"/>
        <v/>
      </c>
      <c r="I212" s="113" t="str">
        <f t="shared" si="61"/>
        <v/>
      </c>
      <c r="L212" s="36">
        <v>207</v>
      </c>
      <c r="M212" s="39">
        <f t="shared" si="40"/>
        <v>0</v>
      </c>
      <c r="N212" s="40" t="s">
        <v>292</v>
      </c>
      <c r="O212" s="41"/>
      <c r="P212" s="39">
        <f>'VALVES &amp; FLANGES'!H33</f>
        <v>0</v>
      </c>
      <c r="Q212" s="95">
        <f>'VALVES &amp; FLANGES'!I33</f>
        <v>16.86</v>
      </c>
      <c r="R212" s="95">
        <f>'VALVES &amp; FLANGES'!K33</f>
        <v>0</v>
      </c>
      <c r="S212" s="39">
        <f>'VALVES &amp; FLANGES'!D33</f>
        <v>1310072282</v>
      </c>
      <c r="T212" s="40" t="str">
        <f>'VALVES &amp; FLANGES'!E33</f>
        <v>1/2" f x 1/2"f</v>
      </c>
      <c r="U212" s="40" t="str">
        <f>'VALVES &amp; FLANGES'!F33</f>
        <v>NPT x NPT connections</v>
      </c>
      <c r="V212" s="39">
        <v>1</v>
      </c>
    </row>
    <row r="213" spans="2:22" ht="14.5" hidden="1">
      <c r="B213" s="257" t="str">
        <f>IF(ISERROR(VLOOKUP(L225,$M$6:$V$612,7,0)),"",(VLOOKUP(L225,$M$6:$V807,7,0)))</f>
        <v/>
      </c>
      <c r="C213" s="115" t="str">
        <f t="shared" si="55"/>
        <v/>
      </c>
      <c r="D213" s="114" t="str">
        <f t="shared" si="56"/>
        <v/>
      </c>
      <c r="E213" s="115" t="str">
        <f t="shared" si="57"/>
        <v/>
      </c>
      <c r="F213" s="114" t="str">
        <f t="shared" si="58"/>
        <v/>
      </c>
      <c r="G213" s="116" t="str">
        <f t="shared" si="59"/>
        <v/>
      </c>
      <c r="H213" s="117" t="str">
        <f t="shared" si="60"/>
        <v/>
      </c>
      <c r="I213" s="113" t="str">
        <f t="shared" si="61"/>
        <v/>
      </c>
      <c r="L213" s="36">
        <v>208</v>
      </c>
      <c r="M213" s="39">
        <f t="shared" si="40"/>
        <v>0</v>
      </c>
      <c r="N213" s="40" t="s">
        <v>292</v>
      </c>
      <c r="O213" s="41"/>
      <c r="P213" s="39">
        <f>'VALVES &amp; FLANGES'!H34</f>
        <v>0</v>
      </c>
      <c r="Q213" s="95">
        <f>'VALVES &amp; FLANGES'!I34</f>
        <v>30.75</v>
      </c>
      <c r="R213" s="95">
        <f>'VALVES &amp; FLANGES'!K34</f>
        <v>0</v>
      </c>
      <c r="S213" s="39">
        <f>'VALVES &amp; FLANGES'!D34</f>
        <v>1310072283</v>
      </c>
      <c r="T213" s="40" t="str">
        <f>'VALVES &amp; FLANGES'!E34</f>
        <v>3/4"f x 3/4"f</v>
      </c>
      <c r="U213" s="40" t="str">
        <f>'VALVES &amp; FLANGES'!F34</f>
        <v>NPT x NPT connections</v>
      </c>
      <c r="V213" s="39">
        <v>1</v>
      </c>
    </row>
    <row r="214" spans="2:22" ht="14.5" hidden="1">
      <c r="B214" s="257" t="str">
        <f>IF(ISERROR(VLOOKUP(L226,$M$6:$V$612,7,0)),"",(VLOOKUP(L226,$M$6:$V808,7,0)))</f>
        <v/>
      </c>
      <c r="C214" s="115" t="str">
        <f t="shared" si="55"/>
        <v/>
      </c>
      <c r="D214" s="114" t="str">
        <f t="shared" si="56"/>
        <v/>
      </c>
      <c r="E214" s="115" t="str">
        <f t="shared" si="57"/>
        <v/>
      </c>
      <c r="F214" s="114" t="str">
        <f t="shared" si="58"/>
        <v/>
      </c>
      <c r="G214" s="116" t="str">
        <f t="shared" si="59"/>
        <v/>
      </c>
      <c r="H214" s="117" t="str">
        <f t="shared" si="60"/>
        <v/>
      </c>
      <c r="I214" s="113" t="str">
        <f t="shared" si="61"/>
        <v/>
      </c>
      <c r="L214" s="36">
        <v>209</v>
      </c>
      <c r="M214" s="39">
        <f t="shared" si="40"/>
        <v>0</v>
      </c>
      <c r="N214" s="40" t="s">
        <v>292</v>
      </c>
      <c r="O214" s="41"/>
      <c r="P214" s="39">
        <f>'VALVES &amp; FLANGES'!H35</f>
        <v>0</v>
      </c>
      <c r="Q214" s="95">
        <f>'VALVES &amp; FLANGES'!I35</f>
        <v>35.659999999999997</v>
      </c>
      <c r="R214" s="95">
        <f>'VALVES &amp; FLANGES'!K35</f>
        <v>0</v>
      </c>
      <c r="S214" s="39">
        <f>'VALVES &amp; FLANGES'!D35</f>
        <v>1310072284</v>
      </c>
      <c r="T214" s="40" t="str">
        <f>'VALVES &amp; FLANGES'!E35</f>
        <v>1"f x 1"f</v>
      </c>
      <c r="U214" s="40" t="str">
        <f>'VALVES &amp; FLANGES'!F35</f>
        <v>NPT x NPT connections</v>
      </c>
      <c r="V214" s="39">
        <v>1</v>
      </c>
    </row>
    <row r="215" spans="2:22" ht="14.5" hidden="1">
      <c r="B215" s="257" t="str">
        <f>IF(ISERROR(VLOOKUP(L227,$M$6:$V$612,7,0)),"",(VLOOKUP(L227,$M$6:$V809,7,0)))</f>
        <v/>
      </c>
      <c r="C215" s="115" t="str">
        <f t="shared" si="55"/>
        <v/>
      </c>
      <c r="D215" s="114" t="str">
        <f t="shared" si="56"/>
        <v/>
      </c>
      <c r="E215" s="115" t="str">
        <f t="shared" si="57"/>
        <v/>
      </c>
      <c r="F215" s="114" t="str">
        <f t="shared" si="58"/>
        <v/>
      </c>
      <c r="G215" s="116" t="str">
        <f t="shared" si="59"/>
        <v/>
      </c>
      <c r="H215" s="117" t="str">
        <f t="shared" si="60"/>
        <v/>
      </c>
      <c r="I215" s="113" t="str">
        <f t="shared" si="61"/>
        <v/>
      </c>
      <c r="L215" s="36">
        <v>210</v>
      </c>
      <c r="M215" s="39">
        <f t="shared" ref="M215:M278" si="62">IF(P215&gt;0,M214+1,M214)</f>
        <v>0</v>
      </c>
      <c r="N215" s="40" t="s">
        <v>292</v>
      </c>
      <c r="O215" s="41"/>
      <c r="P215" s="39">
        <f>'VALVES &amp; FLANGES'!H36</f>
        <v>0</v>
      </c>
      <c r="Q215" s="95">
        <f>'VALVES &amp; FLANGES'!I36</f>
        <v>58.9</v>
      </c>
      <c r="R215" s="95">
        <f>'VALVES &amp; FLANGES'!K36</f>
        <v>0</v>
      </c>
      <c r="S215" s="39">
        <f>'VALVES &amp; FLANGES'!D36</f>
        <v>1310072378</v>
      </c>
      <c r="T215" s="40" t="str">
        <f>'VALVES &amp; FLANGES'!E36</f>
        <v>1 1/4"f x 1 1/4"f</v>
      </c>
      <c r="U215" s="40" t="str">
        <f>'VALVES &amp; FLANGES'!F36</f>
        <v>NPT x NPT connections</v>
      </c>
      <c r="V215" s="39">
        <v>1</v>
      </c>
    </row>
    <row r="216" spans="2:22" ht="14.5" hidden="1">
      <c r="B216" s="257" t="str">
        <f>IF(ISERROR(VLOOKUP(L228,$M$6:$V$612,7,0)),"",(VLOOKUP(L228,$M$6:$V810,7,0)))</f>
        <v/>
      </c>
      <c r="C216" s="115" t="str">
        <f t="shared" si="55"/>
        <v/>
      </c>
      <c r="D216" s="114" t="str">
        <f t="shared" si="56"/>
        <v/>
      </c>
      <c r="E216" s="115" t="str">
        <f t="shared" si="57"/>
        <v/>
      </c>
      <c r="F216" s="114" t="str">
        <f t="shared" si="58"/>
        <v/>
      </c>
      <c r="G216" s="116" t="str">
        <f t="shared" si="59"/>
        <v/>
      </c>
      <c r="H216" s="117" t="str">
        <f t="shared" si="60"/>
        <v/>
      </c>
      <c r="I216" s="113" t="str">
        <f t="shared" si="61"/>
        <v/>
      </c>
      <c r="L216" s="36">
        <v>211</v>
      </c>
      <c r="M216" s="39">
        <f t="shared" si="62"/>
        <v>0</v>
      </c>
      <c r="N216" s="40" t="s">
        <v>292</v>
      </c>
      <c r="O216" s="41"/>
      <c r="P216" s="39">
        <f>'VALVES &amp; FLANGES'!H37</f>
        <v>0</v>
      </c>
      <c r="Q216" s="95">
        <f>'VALVES &amp; FLANGES'!I37</f>
        <v>68.37</v>
      </c>
      <c r="R216" s="95">
        <f>'VALVES &amp; FLANGES'!K37</f>
        <v>0</v>
      </c>
      <c r="S216" s="39">
        <f>'VALVES &amp; FLANGES'!D37</f>
        <v>1310072286</v>
      </c>
      <c r="T216" s="40" t="str">
        <f>'VALVES &amp; FLANGES'!E37</f>
        <v>1 1/2"f x 1 1/2"f</v>
      </c>
      <c r="U216" s="40" t="str">
        <f>'VALVES &amp; FLANGES'!F37</f>
        <v>NPT x NPT connections</v>
      </c>
      <c r="V216" s="39">
        <v>1</v>
      </c>
    </row>
    <row r="217" spans="2:22" ht="14.5" hidden="1">
      <c r="B217" s="257" t="str">
        <f>IF(ISERROR(VLOOKUP(L229,$M$6:$V$612,7,0)),"",(VLOOKUP(L229,$M$6:$V811,7,0)))</f>
        <v/>
      </c>
      <c r="C217" s="115" t="str">
        <f t="shared" si="55"/>
        <v/>
      </c>
      <c r="D217" s="114" t="str">
        <f t="shared" si="56"/>
        <v/>
      </c>
      <c r="E217" s="115" t="str">
        <f t="shared" si="57"/>
        <v/>
      </c>
      <c r="F217" s="114" t="str">
        <f t="shared" si="58"/>
        <v/>
      </c>
      <c r="G217" s="116" t="str">
        <f t="shared" si="59"/>
        <v/>
      </c>
      <c r="H217" s="117" t="str">
        <f t="shared" si="60"/>
        <v/>
      </c>
      <c r="I217" s="113" t="str">
        <f t="shared" si="61"/>
        <v/>
      </c>
      <c r="L217" s="36">
        <v>212</v>
      </c>
      <c r="M217" s="39">
        <f t="shared" si="62"/>
        <v>0</v>
      </c>
      <c r="N217" s="40" t="s">
        <v>292</v>
      </c>
      <c r="O217" s="41"/>
      <c r="P217" s="39">
        <f>'VALVES &amp; FLANGES'!H38</f>
        <v>0</v>
      </c>
      <c r="Q217" s="95">
        <f>'VALVES &amp; FLANGES'!I38</f>
        <v>200.93</v>
      </c>
      <c r="R217" s="95">
        <f>'VALVES &amp; FLANGES'!K38</f>
        <v>0</v>
      </c>
      <c r="S217" s="39">
        <f>'VALVES &amp; FLANGES'!D38</f>
        <v>1310072287</v>
      </c>
      <c r="T217" s="40" t="str">
        <f>'VALVES &amp; FLANGES'!E38</f>
        <v>2"f x 2"f</v>
      </c>
      <c r="U217" s="40" t="str">
        <f>'VALVES &amp; FLANGES'!F38</f>
        <v>NPT x NPT connections</v>
      </c>
      <c r="V217" s="39">
        <v>1</v>
      </c>
    </row>
    <row r="218" spans="2:22" ht="14.5" hidden="1">
      <c r="B218" s="257" t="str">
        <f>IF(ISERROR(VLOOKUP(L230,$M$6:$V$612,7,0)),"",(VLOOKUP(L230,$M$6:$V812,7,0)))</f>
        <v/>
      </c>
      <c r="C218" s="115" t="str">
        <f t="shared" si="55"/>
        <v/>
      </c>
      <c r="D218" s="114" t="str">
        <f t="shared" si="56"/>
        <v/>
      </c>
      <c r="E218" s="115" t="str">
        <f t="shared" si="57"/>
        <v/>
      </c>
      <c r="F218" s="114" t="str">
        <f t="shared" si="58"/>
        <v/>
      </c>
      <c r="G218" s="116" t="str">
        <f t="shared" si="59"/>
        <v/>
      </c>
      <c r="H218" s="117" t="str">
        <f t="shared" si="60"/>
        <v/>
      </c>
      <c r="I218" s="113" t="str">
        <f t="shared" si="61"/>
        <v/>
      </c>
      <c r="L218" s="36">
        <v>213</v>
      </c>
      <c r="M218" s="39">
        <f t="shared" si="62"/>
        <v>0</v>
      </c>
      <c r="N218" s="40" t="s">
        <v>292</v>
      </c>
      <c r="O218" s="41"/>
      <c r="P218" s="39">
        <f>'VALVES &amp; FLANGES'!H39</f>
        <v>0</v>
      </c>
      <c r="Q218" s="95" t="e">
        <f>'VALVES &amp; FLANGES'!I39</f>
        <v>#REF!</v>
      </c>
      <c r="R218" s="95" t="e">
        <f>'VALVES &amp; FLANGES'!K39</f>
        <v>#REF!</v>
      </c>
      <c r="S218" s="39">
        <f>'VALVES &amp; FLANGES'!D39</f>
        <v>1310072288</v>
      </c>
      <c r="T218" s="40" t="str">
        <f>'VALVES &amp; FLANGES'!E39</f>
        <v>2 1/2"f x 2 1/2"f</v>
      </c>
      <c r="U218" s="40" t="str">
        <f>'VALVES &amp; FLANGES'!F39</f>
        <v>NPT x NPT connections</v>
      </c>
      <c r="V218" s="39">
        <v>1</v>
      </c>
    </row>
    <row r="219" spans="2:22" ht="14.5" hidden="1">
      <c r="B219" s="257" t="str">
        <f>IF(ISERROR(VLOOKUP(L231,$M$6:$V$612,7,0)),"",(VLOOKUP(L231,$M$6:$V813,7,0)))</f>
        <v/>
      </c>
      <c r="C219" s="115" t="str">
        <f t="shared" si="55"/>
        <v/>
      </c>
      <c r="D219" s="114" t="str">
        <f t="shared" si="56"/>
        <v/>
      </c>
      <c r="E219" s="115" t="str">
        <f t="shared" si="57"/>
        <v/>
      </c>
      <c r="F219" s="114" t="str">
        <f t="shared" si="58"/>
        <v/>
      </c>
      <c r="G219" s="116" t="str">
        <f t="shared" si="59"/>
        <v/>
      </c>
      <c r="H219" s="117" t="str">
        <f t="shared" si="60"/>
        <v/>
      </c>
      <c r="I219" s="113" t="str">
        <f t="shared" si="61"/>
        <v/>
      </c>
      <c r="L219" s="36">
        <v>214</v>
      </c>
      <c r="M219" s="39">
        <f t="shared" si="62"/>
        <v>0</v>
      </c>
      <c r="N219" s="40" t="s">
        <v>292</v>
      </c>
      <c r="O219" s="41"/>
      <c r="P219" s="39">
        <f>'VALVES &amp; FLANGES'!H40</f>
        <v>0</v>
      </c>
      <c r="Q219" s="95" t="e">
        <f>'VALVES &amp; FLANGES'!I40</f>
        <v>#REF!</v>
      </c>
      <c r="R219" s="95" t="e">
        <f>'VALVES &amp; FLANGES'!K40</f>
        <v>#REF!</v>
      </c>
      <c r="S219" s="39">
        <f>'VALVES &amp; FLANGES'!D40</f>
        <v>1310072289</v>
      </c>
      <c r="T219" s="40" t="str">
        <f>'VALVES &amp; FLANGES'!E40</f>
        <v>3"f x 3"f</v>
      </c>
      <c r="U219" s="40" t="str">
        <f>'VALVES &amp; FLANGES'!F40</f>
        <v>NPT x NPT connections</v>
      </c>
      <c r="V219" s="39">
        <v>1</v>
      </c>
    </row>
    <row r="220" spans="2:22" ht="14.5" hidden="1">
      <c r="B220" s="257" t="str">
        <f>IF(ISERROR(VLOOKUP(L232,$M$6:$V$612,7,0)),"",(VLOOKUP(L232,$M$6:$V814,7,0)))</f>
        <v/>
      </c>
      <c r="C220" s="115" t="str">
        <f t="shared" si="55"/>
        <v/>
      </c>
      <c r="D220" s="114" t="str">
        <f t="shared" si="56"/>
        <v/>
      </c>
      <c r="E220" s="115" t="str">
        <f t="shared" si="57"/>
        <v/>
      </c>
      <c r="F220" s="114" t="str">
        <f t="shared" si="58"/>
        <v/>
      </c>
      <c r="G220" s="116" t="str">
        <f t="shared" si="59"/>
        <v/>
      </c>
      <c r="H220" s="117" t="str">
        <f t="shared" si="60"/>
        <v/>
      </c>
      <c r="I220" s="113" t="str">
        <f t="shared" si="61"/>
        <v/>
      </c>
      <c r="L220" s="36">
        <v>215</v>
      </c>
      <c r="M220" s="39">
        <f t="shared" si="62"/>
        <v>0</v>
      </c>
      <c r="N220" s="18"/>
      <c r="O220" s="41"/>
      <c r="P220" s="87">
        <f>'VALVES &amp; FLANGES'!H54</f>
        <v>0</v>
      </c>
      <c r="Q220" s="96"/>
      <c r="R220" s="96"/>
      <c r="S220" s="87"/>
      <c r="T220" s="18"/>
      <c r="U220" s="18">
        <f>'VALVES &amp; FLANGES'!F54</f>
        <v>0</v>
      </c>
      <c r="V220" s="87"/>
    </row>
    <row r="221" spans="2:22" ht="14.5" hidden="1">
      <c r="B221" s="257" t="str">
        <f>IF(ISERROR(VLOOKUP(L233,$M$6:$V$612,7,0)),"",(VLOOKUP(L233,$M$6:$V815,7,0)))</f>
        <v/>
      </c>
      <c r="C221" s="115" t="str">
        <f t="shared" si="55"/>
        <v/>
      </c>
      <c r="D221" s="114" t="str">
        <f t="shared" si="56"/>
        <v/>
      </c>
      <c r="E221" s="115" t="str">
        <f t="shared" si="57"/>
        <v/>
      </c>
      <c r="F221" s="114" t="str">
        <f t="shared" si="58"/>
        <v/>
      </c>
      <c r="G221" s="116" t="str">
        <f t="shared" si="59"/>
        <v/>
      </c>
      <c r="H221" s="117" t="str">
        <f t="shared" si="60"/>
        <v/>
      </c>
      <c r="I221" s="113" t="str">
        <f t="shared" si="61"/>
        <v/>
      </c>
      <c r="L221" s="36">
        <v>216</v>
      </c>
      <c r="M221" s="39">
        <f t="shared" si="62"/>
        <v>0</v>
      </c>
      <c r="N221" s="40" t="s">
        <v>292</v>
      </c>
      <c r="O221" s="41"/>
      <c r="P221" s="39">
        <f>'VALVES &amp; FLANGES'!H42</f>
        <v>0</v>
      </c>
      <c r="Q221" s="164">
        <f>'VALVES &amp; FLANGES'!I42</f>
        <v>419.58</v>
      </c>
      <c r="R221" s="95">
        <f>'VALVES &amp; FLANGES'!K42</f>
        <v>0</v>
      </c>
      <c r="S221" s="39">
        <f>'VALVES &amp; FLANGES'!D42</f>
        <v>2811605190</v>
      </c>
      <c r="T221" s="40" t="str">
        <f>'VALVES &amp; FLANGES'!E42</f>
        <v>63 / 2½"</v>
      </c>
      <c r="U221" s="40" t="str">
        <f>'VALVES &amp; FLANGES'!F42</f>
        <v>(Flanges are included)</v>
      </c>
      <c r="V221" s="39">
        <v>1</v>
      </c>
    </row>
    <row r="222" spans="2:22" ht="14.5" hidden="1">
      <c r="B222" s="257" t="str">
        <f>IF(ISERROR(VLOOKUP(L234,$M$6:$V$612,7,0)),"",(VLOOKUP(L234,$M$6:$V816,7,0)))</f>
        <v/>
      </c>
      <c r="C222" s="115" t="str">
        <f t="shared" si="55"/>
        <v/>
      </c>
      <c r="D222" s="114" t="str">
        <f t="shared" si="56"/>
        <v/>
      </c>
      <c r="E222" s="115" t="str">
        <f t="shared" si="57"/>
        <v/>
      </c>
      <c r="F222" s="114" t="str">
        <f t="shared" si="58"/>
        <v/>
      </c>
      <c r="G222" s="116" t="str">
        <f t="shared" si="59"/>
        <v/>
      </c>
      <c r="H222" s="117" t="str">
        <f t="shared" si="60"/>
        <v/>
      </c>
      <c r="I222" s="113" t="str">
        <f t="shared" si="61"/>
        <v/>
      </c>
      <c r="L222" s="36">
        <v>217</v>
      </c>
      <c r="M222" s="39">
        <f t="shared" si="62"/>
        <v>0</v>
      </c>
      <c r="N222" s="40" t="s">
        <v>292</v>
      </c>
      <c r="O222" s="41"/>
      <c r="P222" s="39">
        <f>'VALVES &amp; FLANGES'!H43</f>
        <v>0</v>
      </c>
      <c r="Q222" s="164">
        <f>'VALVES &amp; FLANGES'!I43</f>
        <v>532.61</v>
      </c>
      <c r="R222" s="95">
        <f>'VALVES &amp; FLANGES'!K43</f>
        <v>0</v>
      </c>
      <c r="S222" s="39">
        <f>'VALVES &amp; FLANGES'!D43</f>
        <v>2811705190</v>
      </c>
      <c r="T222" s="40" t="str">
        <f>'VALVES &amp; FLANGES'!E43</f>
        <v>80 / 3"</v>
      </c>
      <c r="U222" s="40" t="str">
        <f>'VALVES &amp; FLANGES'!F43</f>
        <v>(Flanges are included)</v>
      </c>
      <c r="V222" s="39">
        <v>1</v>
      </c>
    </row>
    <row r="223" spans="2:22" ht="14.5" hidden="1">
      <c r="B223" s="257" t="str">
        <f>IF(ISERROR(VLOOKUP(L235,$M$6:$V$612,7,0)),"",(VLOOKUP(L235,$M$6:$V817,7,0)))</f>
        <v/>
      </c>
      <c r="C223" s="115" t="str">
        <f t="shared" si="55"/>
        <v/>
      </c>
      <c r="D223" s="114" t="str">
        <f t="shared" si="56"/>
        <v/>
      </c>
      <c r="E223" s="115" t="str">
        <f t="shared" si="57"/>
        <v/>
      </c>
      <c r="F223" s="114" t="str">
        <f t="shared" si="58"/>
        <v/>
      </c>
      <c r="G223" s="116" t="str">
        <f t="shared" si="59"/>
        <v/>
      </c>
      <c r="H223" s="117" t="str">
        <f t="shared" si="60"/>
        <v/>
      </c>
      <c r="I223" s="113" t="str">
        <f t="shared" si="61"/>
        <v/>
      </c>
      <c r="L223" s="36">
        <v>218</v>
      </c>
      <c r="M223" s="39">
        <f t="shared" si="62"/>
        <v>0</v>
      </c>
      <c r="N223" s="40" t="s">
        <v>292</v>
      </c>
      <c r="O223" s="41"/>
      <c r="P223" s="39">
        <f>'VALVES &amp; FLANGES'!H44</f>
        <v>0</v>
      </c>
      <c r="Q223" s="95">
        <f>'VALVES &amp; FLANGES'!I44</f>
        <v>289.37</v>
      </c>
      <c r="R223" s="95">
        <f>'VALVES &amp; FLANGES'!K44</f>
        <v>0</v>
      </c>
      <c r="S223" s="39">
        <f>'VALVES &amp; FLANGES'!D44</f>
        <v>1606456104</v>
      </c>
      <c r="T223" s="40" t="str">
        <f>'VALVES &amp; FLANGES'!E44</f>
        <v>100 / 4"</v>
      </c>
      <c r="U223" s="40" t="str">
        <f>'VALVES &amp; FLANGES'!F44</f>
        <v>(Valve Only) - requires flange &amp; bolt sets</v>
      </c>
      <c r="V223" s="39">
        <v>1</v>
      </c>
    </row>
    <row r="224" spans="2:22" ht="14.5" hidden="1">
      <c r="B224" s="257" t="str">
        <f>IF(ISERROR(VLOOKUP(L236,$M$6:$V$612,7,0)),"",(VLOOKUP(L236,$M$6:$V818,7,0)))</f>
        <v/>
      </c>
      <c r="C224" s="115" t="str">
        <f t="shared" si="55"/>
        <v/>
      </c>
      <c r="D224" s="114" t="str">
        <f t="shared" si="56"/>
        <v/>
      </c>
      <c r="E224" s="115" t="str">
        <f t="shared" si="57"/>
        <v/>
      </c>
      <c r="F224" s="114" t="str">
        <f t="shared" si="58"/>
        <v/>
      </c>
      <c r="G224" s="116" t="str">
        <f t="shared" si="59"/>
        <v/>
      </c>
      <c r="H224" s="117" t="str">
        <f t="shared" si="60"/>
        <v/>
      </c>
      <c r="I224" s="113" t="str">
        <f t="shared" si="61"/>
        <v/>
      </c>
      <c r="L224" s="36">
        <v>219</v>
      </c>
      <c r="M224" s="39">
        <f t="shared" si="62"/>
        <v>0</v>
      </c>
      <c r="N224" s="40" t="s">
        <v>292</v>
      </c>
      <c r="O224" s="41"/>
      <c r="P224" s="39">
        <f>'VALVES &amp; FLANGES'!H45</f>
        <v>0</v>
      </c>
      <c r="Q224" s="95">
        <f>'VALVES &amp; FLANGES'!I45</f>
        <v>386.84</v>
      </c>
      <c r="R224" s="95">
        <f>'VALVES &amp; FLANGES'!K45</f>
        <v>0</v>
      </c>
      <c r="S224" s="39">
        <f>'VALVES &amp; FLANGES'!D45</f>
        <v>2810905100</v>
      </c>
      <c r="T224" s="40" t="str">
        <f>'VALVES &amp; FLANGES'!E45</f>
        <v>158 / 6"</v>
      </c>
      <c r="U224" s="40" t="str">
        <f>'VALVES &amp; FLANGES'!F45</f>
        <v>(Valve Only) - requires flange &amp; bolt sets</v>
      </c>
      <c r="V224" s="39">
        <v>1</v>
      </c>
    </row>
    <row r="225" spans="2:22" ht="14.5" hidden="1">
      <c r="B225" s="257" t="str">
        <f>IF(ISERROR(VLOOKUP(L237,$M$6:$V$612,7,0)),"",(VLOOKUP(L237,$M$6:$V819,7,0)))</f>
        <v/>
      </c>
      <c r="C225" s="115" t="str">
        <f t="shared" si="55"/>
        <v/>
      </c>
      <c r="D225" s="114" t="str">
        <f t="shared" si="56"/>
        <v/>
      </c>
      <c r="E225" s="115" t="str">
        <f t="shared" si="57"/>
        <v/>
      </c>
      <c r="F225" s="114" t="str">
        <f t="shared" si="58"/>
        <v/>
      </c>
      <c r="G225" s="116" t="str">
        <f t="shared" si="59"/>
        <v/>
      </c>
      <c r="H225" s="117" t="str">
        <f t="shared" si="60"/>
        <v/>
      </c>
      <c r="I225" s="113" t="str">
        <f t="shared" si="61"/>
        <v/>
      </c>
      <c r="L225" s="36">
        <v>220</v>
      </c>
      <c r="M225" s="39">
        <f t="shared" si="62"/>
        <v>0</v>
      </c>
      <c r="N225" s="18"/>
      <c r="O225" s="41"/>
      <c r="P225" s="87">
        <f>'VALVES &amp; FLANGES'!H46</f>
        <v>0</v>
      </c>
      <c r="Q225" s="96">
        <f>'VALVES &amp; FLANGES'!I46</f>
        <v>0</v>
      </c>
      <c r="R225" s="96">
        <f>'VALVES &amp; FLANGES'!K46</f>
        <v>0</v>
      </c>
      <c r="S225" s="87">
        <f>'VALVES &amp; FLANGES'!D46</f>
        <v>0</v>
      </c>
      <c r="T225" s="18">
        <f>'VALVES &amp; FLANGES'!E46</f>
        <v>0</v>
      </c>
      <c r="U225" s="18">
        <f>'VALVES &amp; FLANGES'!F46</f>
        <v>0</v>
      </c>
      <c r="V225" s="87"/>
    </row>
    <row r="226" spans="2:22" ht="14.5" hidden="1">
      <c r="B226" s="257" t="str">
        <f>IF(ISERROR(VLOOKUP(L238,$M$6:$V$612,7,0)),"",(VLOOKUP(L238,$M$6:$V820,7,0)))</f>
        <v/>
      </c>
      <c r="C226" s="115" t="str">
        <f t="shared" si="55"/>
        <v/>
      </c>
      <c r="D226" s="114" t="str">
        <f t="shared" si="56"/>
        <v/>
      </c>
      <c r="E226" s="115" t="str">
        <f t="shared" si="57"/>
        <v/>
      </c>
      <c r="F226" s="114" t="str">
        <f t="shared" si="58"/>
        <v/>
      </c>
      <c r="G226" s="116" t="str">
        <f t="shared" si="59"/>
        <v/>
      </c>
      <c r="H226" s="117" t="str">
        <f t="shared" si="60"/>
        <v/>
      </c>
      <c r="I226" s="113" t="str">
        <f t="shared" si="61"/>
        <v/>
      </c>
      <c r="L226" s="36">
        <v>221</v>
      </c>
      <c r="M226" s="39">
        <f t="shared" si="62"/>
        <v>0</v>
      </c>
      <c r="N226" s="18"/>
      <c r="O226" s="41"/>
      <c r="P226" s="87">
        <f>'VALVES &amp; FLANGES'!H47</f>
        <v>0</v>
      </c>
      <c r="Q226" s="96">
        <f>'VALVES &amp; FLANGES'!I47</f>
        <v>0</v>
      </c>
      <c r="R226" s="96">
        <f>'VALVES &amp; FLANGES'!K47</f>
        <v>0</v>
      </c>
      <c r="S226" s="87">
        <f>'VALVES &amp; FLANGES'!D47</f>
        <v>0</v>
      </c>
      <c r="T226" s="18">
        <f>'VALVES &amp; FLANGES'!E47</f>
        <v>0</v>
      </c>
      <c r="U226" s="18">
        <f>'VALVES &amp; FLANGES'!F47</f>
        <v>0</v>
      </c>
      <c r="V226" s="87"/>
    </row>
    <row r="227" spans="2:22" ht="14.5" hidden="1">
      <c r="B227" s="257" t="str">
        <f>IF(ISERROR(VLOOKUP(L239,$M$6:$V$612,7,0)),"",(VLOOKUP(L239,$M$6:$V821,7,0)))</f>
        <v/>
      </c>
      <c r="C227" s="115" t="str">
        <f t="shared" si="55"/>
        <v/>
      </c>
      <c r="D227" s="114" t="str">
        <f t="shared" si="56"/>
        <v/>
      </c>
      <c r="E227" s="115" t="str">
        <f t="shared" si="57"/>
        <v/>
      </c>
      <c r="F227" s="114" t="str">
        <f t="shared" si="58"/>
        <v/>
      </c>
      <c r="G227" s="116" t="str">
        <f t="shared" si="59"/>
        <v/>
      </c>
      <c r="H227" s="117" t="str">
        <f t="shared" si="60"/>
        <v/>
      </c>
      <c r="I227" s="113" t="str">
        <f t="shared" si="61"/>
        <v/>
      </c>
      <c r="L227" s="36">
        <v>222</v>
      </c>
      <c r="M227" s="39">
        <f t="shared" si="62"/>
        <v>0</v>
      </c>
      <c r="N227" s="40" t="s">
        <v>292</v>
      </c>
      <c r="O227" s="41"/>
      <c r="P227" s="39">
        <f>'VALVES &amp; FLANGES'!H48</f>
        <v>0</v>
      </c>
      <c r="Q227" s="164">
        <f>'VALVES &amp; FLANGES'!I48</f>
        <v>419.58</v>
      </c>
      <c r="R227" s="95">
        <f>'VALVES &amp; FLANGES'!K48</f>
        <v>0</v>
      </c>
      <c r="S227" s="39">
        <f>'VALVES &amp; FLANGES'!D48</f>
        <v>2811665390</v>
      </c>
      <c r="T227" s="40" t="str">
        <f>'VALVES &amp; FLANGES'!E48</f>
        <v>63 / 2½"</v>
      </c>
      <c r="U227" s="40" t="str">
        <f>'VALVES &amp; FLANGES'!F48</f>
        <v>(Flanges are included)</v>
      </c>
      <c r="V227" s="39">
        <v>1</v>
      </c>
    </row>
    <row r="228" spans="2:22" ht="14.5" hidden="1">
      <c r="B228" s="257" t="str">
        <f>IF(ISERROR(VLOOKUP(L240,$M$6:$V$612,7,0)),"",(VLOOKUP(L240,$M$6:$V822,7,0)))</f>
        <v/>
      </c>
      <c r="C228" s="115" t="str">
        <f t="shared" si="55"/>
        <v/>
      </c>
      <c r="D228" s="114" t="str">
        <f t="shared" si="56"/>
        <v/>
      </c>
      <c r="E228" s="115" t="str">
        <f t="shared" si="57"/>
        <v/>
      </c>
      <c r="F228" s="114" t="str">
        <f t="shared" si="58"/>
        <v/>
      </c>
      <c r="G228" s="116" t="str">
        <f t="shared" si="59"/>
        <v/>
      </c>
      <c r="H228" s="117" t="str">
        <f t="shared" si="60"/>
        <v/>
      </c>
      <c r="I228" s="113" t="str">
        <f t="shared" si="61"/>
        <v/>
      </c>
      <c r="L228" s="36">
        <v>223</v>
      </c>
      <c r="M228" s="39">
        <f t="shared" si="62"/>
        <v>0</v>
      </c>
      <c r="N228" s="40" t="s">
        <v>292</v>
      </c>
      <c r="O228" s="41"/>
      <c r="P228" s="39">
        <f>'VALVES &amp; FLANGES'!H49</f>
        <v>0</v>
      </c>
      <c r="Q228" s="164">
        <f>'VALVES &amp; FLANGES'!I49</f>
        <v>548.78</v>
      </c>
      <c r="R228" s="95">
        <f>'VALVES &amp; FLANGES'!K49</f>
        <v>0</v>
      </c>
      <c r="S228" s="39">
        <f>'VALVES &amp; FLANGES'!D49</f>
        <v>2811775390</v>
      </c>
      <c r="T228" s="40" t="str">
        <f>'VALVES &amp; FLANGES'!E49</f>
        <v>80 / 3"</v>
      </c>
      <c r="U228" s="40" t="str">
        <f>'VALVES &amp; FLANGES'!F49</f>
        <v>(Flanges are included)</v>
      </c>
      <c r="V228" s="39">
        <v>1</v>
      </c>
    </row>
    <row r="229" spans="2:22" ht="14.5" hidden="1">
      <c r="B229" s="257" t="str">
        <f>IF(ISERROR(VLOOKUP(L241,$M$6:$V$612,7,0)),"",(VLOOKUP(L241,$M$6:$V823,7,0)))</f>
        <v/>
      </c>
      <c r="C229" s="115" t="str">
        <f t="shared" si="55"/>
        <v/>
      </c>
      <c r="D229" s="114" t="str">
        <f t="shared" si="56"/>
        <v/>
      </c>
      <c r="E229" s="115" t="str">
        <f t="shared" si="57"/>
        <v/>
      </c>
      <c r="F229" s="114" t="str">
        <f t="shared" si="58"/>
        <v/>
      </c>
      <c r="G229" s="116" t="str">
        <f t="shared" si="59"/>
        <v/>
      </c>
      <c r="H229" s="117" t="str">
        <f t="shared" si="60"/>
        <v/>
      </c>
      <c r="I229" s="113" t="str">
        <f t="shared" si="61"/>
        <v/>
      </c>
      <c r="L229" s="36">
        <v>224</v>
      </c>
      <c r="M229" s="39">
        <f t="shared" si="62"/>
        <v>0</v>
      </c>
      <c r="N229" s="40" t="s">
        <v>292</v>
      </c>
      <c r="O229" s="41"/>
      <c r="P229" s="39">
        <f>'VALVES &amp; FLANGES'!H55</f>
        <v>0</v>
      </c>
      <c r="Q229" s="164">
        <f>'VALVES &amp; FLANGES'!I55</f>
        <v>104.3</v>
      </c>
      <c r="R229" s="95">
        <f>'VALVES &amp; FLANGES'!K55</f>
        <v>0</v>
      </c>
      <c r="S229" s="39">
        <f>'VALVES &amp; FLANGES'!D55</f>
        <v>2811615490</v>
      </c>
      <c r="T229" s="40" t="str">
        <f>'VALVES &amp; FLANGES'!E55</f>
        <v>63 / 2½"</v>
      </c>
      <c r="U229" s="40" t="str">
        <f>'VALVES &amp; FLANGES'!F55</f>
        <v>ANSI</v>
      </c>
      <c r="V229" s="39">
        <v>1</v>
      </c>
    </row>
    <row r="230" spans="2:22" ht="14.5" hidden="1">
      <c r="B230" s="257" t="str">
        <f>IF(ISERROR(VLOOKUP(L242,$M$6:$V$612,7,0)),"",(VLOOKUP(L242,$M$6:$V824,7,0)))</f>
        <v/>
      </c>
      <c r="C230" s="115" t="str">
        <f t="shared" si="55"/>
        <v/>
      </c>
      <c r="D230" s="114" t="str">
        <f t="shared" si="56"/>
        <v/>
      </c>
      <c r="E230" s="115" t="str">
        <f t="shared" si="57"/>
        <v/>
      </c>
      <c r="F230" s="114" t="str">
        <f t="shared" si="58"/>
        <v/>
      </c>
      <c r="G230" s="116" t="str">
        <f t="shared" si="59"/>
        <v/>
      </c>
      <c r="H230" s="117" t="str">
        <f t="shared" si="60"/>
        <v/>
      </c>
      <c r="I230" s="113" t="str">
        <f t="shared" si="61"/>
        <v/>
      </c>
      <c r="L230" s="36">
        <v>225</v>
      </c>
      <c r="M230" s="39">
        <f t="shared" si="62"/>
        <v>0</v>
      </c>
      <c r="N230" s="40" t="s">
        <v>292</v>
      </c>
      <c r="O230" s="41"/>
      <c r="P230" s="39">
        <f>'VALVES &amp; FLANGES'!H56</f>
        <v>0</v>
      </c>
      <c r="Q230" s="164">
        <f>'VALVES &amp; FLANGES'!I56</f>
        <v>173.96</v>
      </c>
      <c r="R230" s="95">
        <f>'VALVES &amp; FLANGES'!K56</f>
        <v>0</v>
      </c>
      <c r="S230" s="39">
        <f>'VALVES &amp; FLANGES'!D56</f>
        <v>2811715490</v>
      </c>
      <c r="T230" s="40" t="str">
        <f>'VALVES &amp; FLANGES'!E56</f>
        <v>80 / 3"</v>
      </c>
      <c r="U230" s="40" t="str">
        <f>'VALVES &amp; FLANGES'!F56</f>
        <v>ANSI</v>
      </c>
      <c r="V230" s="39">
        <v>1</v>
      </c>
    </row>
    <row r="231" spans="2:22" ht="14.5" hidden="1">
      <c r="B231" s="257" t="str">
        <f>IF(ISERROR(VLOOKUP(L243,$M$6:$V$612,7,0)),"",(VLOOKUP(L243,$M$6:$V825,7,0)))</f>
        <v/>
      </c>
      <c r="C231" s="115" t="str">
        <f t="shared" si="55"/>
        <v/>
      </c>
      <c r="D231" s="114" t="str">
        <f t="shared" si="56"/>
        <v/>
      </c>
      <c r="E231" s="115" t="str">
        <f t="shared" si="57"/>
        <v/>
      </c>
      <c r="F231" s="114" t="str">
        <f t="shared" si="58"/>
        <v/>
      </c>
      <c r="G231" s="116" t="str">
        <f t="shared" si="59"/>
        <v/>
      </c>
      <c r="H231" s="117" t="str">
        <f t="shared" si="60"/>
        <v/>
      </c>
      <c r="I231" s="113" t="str">
        <f t="shared" si="61"/>
        <v/>
      </c>
      <c r="L231" s="36">
        <v>226</v>
      </c>
      <c r="M231" s="39">
        <f t="shared" si="62"/>
        <v>0</v>
      </c>
      <c r="N231" s="40" t="s">
        <v>292</v>
      </c>
      <c r="O231" s="41"/>
      <c r="P231" s="39">
        <f>'VALVES &amp; FLANGES'!H57</f>
        <v>0</v>
      </c>
      <c r="Q231" s="95">
        <f>'VALVES &amp; FLANGES'!I57</f>
        <v>176.58</v>
      </c>
      <c r="R231" s="95">
        <f>'VALVES &amp; FLANGES'!K57</f>
        <v>0</v>
      </c>
      <c r="S231" s="39">
        <f>'VALVES &amp; FLANGES'!D57</f>
        <v>2810825400</v>
      </c>
      <c r="T231" s="40" t="str">
        <f>'VALVES &amp; FLANGES'!E57</f>
        <v>100 / 4"</v>
      </c>
      <c r="U231" s="40" t="str">
        <f>'VALVES &amp; FLANGES'!F57</f>
        <v>ANSI - Equal Unions required</v>
      </c>
      <c r="V231" s="39">
        <v>1</v>
      </c>
    </row>
    <row r="232" spans="2:22" ht="14.5" hidden="1">
      <c r="B232" s="257" t="str">
        <f>IF(ISERROR(VLOOKUP(L244,$M$6:$V$612,7,0)),"",(VLOOKUP(L244,$M$6:$V826,7,0)))</f>
        <v/>
      </c>
      <c r="C232" s="115" t="str">
        <f t="shared" si="55"/>
        <v/>
      </c>
      <c r="D232" s="114" t="str">
        <f t="shared" si="56"/>
        <v/>
      </c>
      <c r="E232" s="115" t="str">
        <f t="shared" si="57"/>
        <v/>
      </c>
      <c r="F232" s="114" t="str">
        <f t="shared" si="58"/>
        <v/>
      </c>
      <c r="G232" s="116" t="str">
        <f t="shared" si="59"/>
        <v/>
      </c>
      <c r="H232" s="117" t="str">
        <f t="shared" si="60"/>
        <v/>
      </c>
      <c r="I232" s="113" t="str">
        <f t="shared" si="61"/>
        <v/>
      </c>
      <c r="L232" s="36">
        <v>227</v>
      </c>
      <c r="M232" s="39">
        <f t="shared" si="62"/>
        <v>0</v>
      </c>
      <c r="N232" s="40" t="s">
        <v>292</v>
      </c>
      <c r="O232" s="41"/>
      <c r="P232" s="39">
        <f>'VALVES &amp; FLANGES'!H58</f>
        <v>0</v>
      </c>
      <c r="Q232" s="95">
        <f>'VALVES &amp; FLANGES'!I58</f>
        <v>190.32</v>
      </c>
      <c r="R232" s="95">
        <f>'VALVES &amp; FLANGES'!K58</f>
        <v>0</v>
      </c>
      <c r="S232" s="39">
        <f>'VALVES &amp; FLANGES'!D58</f>
        <v>2810915400</v>
      </c>
      <c r="T232" s="40" t="str">
        <f>'VALVES &amp; FLANGES'!E58</f>
        <v>158 / 6"</v>
      </c>
      <c r="U232" s="40" t="str">
        <f>'VALVES &amp; FLANGES'!F58</f>
        <v xml:space="preserve">ANSI - Equal Unions required </v>
      </c>
      <c r="V232" s="39">
        <v>1</v>
      </c>
    </row>
    <row r="233" spans="2:22" ht="14.5" hidden="1">
      <c r="B233" s="257" t="str">
        <f>IF(ISERROR(VLOOKUP(L245,$M$6:$V$612,7,0)),"",(VLOOKUP(L245,$M$6:$V827,7,0)))</f>
        <v/>
      </c>
      <c r="C233" s="115" t="str">
        <f t="shared" si="55"/>
        <v/>
      </c>
      <c r="D233" s="114" t="str">
        <f t="shared" si="56"/>
        <v/>
      </c>
      <c r="E233" s="115" t="str">
        <f t="shared" si="57"/>
        <v/>
      </c>
      <c r="F233" s="114" t="str">
        <f t="shared" si="58"/>
        <v/>
      </c>
      <c r="G233" s="116" t="str">
        <f t="shared" si="59"/>
        <v/>
      </c>
      <c r="H233" s="117" t="str">
        <f t="shared" si="60"/>
        <v/>
      </c>
      <c r="I233" s="113" t="str">
        <f t="shared" si="61"/>
        <v/>
      </c>
      <c r="L233" s="36">
        <v>228</v>
      </c>
      <c r="M233" s="39">
        <f t="shared" si="62"/>
        <v>0</v>
      </c>
      <c r="N233" s="18"/>
      <c r="O233" s="41"/>
      <c r="P233" s="87"/>
      <c r="Q233" s="96"/>
      <c r="R233" s="96"/>
      <c r="S233" s="87">
        <f>'VALVES &amp; FLANGES'!D59</f>
        <v>0</v>
      </c>
      <c r="T233" s="18">
        <f>'VALVES &amp; FLANGES'!E59</f>
        <v>0</v>
      </c>
      <c r="U233" s="18">
        <f>'VALVES &amp; FLANGES'!F59</f>
        <v>0</v>
      </c>
      <c r="V233" s="87"/>
    </row>
    <row r="234" spans="2:22" ht="14.5" hidden="1">
      <c r="B234" s="257" t="str">
        <f>IF(ISERROR(VLOOKUP(L246,$M$6:$V$612,7,0)),"",(VLOOKUP(L246,$M$6:$V828,7,0)))</f>
        <v/>
      </c>
      <c r="C234" s="115" t="str">
        <f t="shared" si="55"/>
        <v/>
      </c>
      <c r="D234" s="114" t="str">
        <f t="shared" si="56"/>
        <v/>
      </c>
      <c r="E234" s="115" t="str">
        <f t="shared" si="57"/>
        <v/>
      </c>
      <c r="F234" s="114" t="str">
        <f t="shared" si="58"/>
        <v/>
      </c>
      <c r="G234" s="116" t="str">
        <f t="shared" si="59"/>
        <v/>
      </c>
      <c r="H234" s="117" t="str">
        <f t="shared" si="60"/>
        <v/>
      </c>
      <c r="I234" s="113" t="str">
        <f t="shared" si="61"/>
        <v/>
      </c>
      <c r="L234" s="36">
        <v>229</v>
      </c>
      <c r="M234" s="39">
        <f t="shared" si="62"/>
        <v>0</v>
      </c>
      <c r="N234" s="18"/>
      <c r="O234" s="41"/>
      <c r="P234" s="87"/>
      <c r="Q234" s="96"/>
      <c r="R234" s="96"/>
      <c r="S234" s="87">
        <f>'VALVES &amp; FLANGES'!D60</f>
        <v>0</v>
      </c>
      <c r="T234" s="18">
        <f>'VALVES &amp; FLANGES'!E60</f>
        <v>0</v>
      </c>
      <c r="U234" s="18">
        <f>'VALVES &amp; FLANGES'!F60</f>
        <v>0</v>
      </c>
      <c r="V234" s="87"/>
    </row>
    <row r="235" spans="2:22" ht="14.5" hidden="1">
      <c r="B235" s="257" t="str">
        <f>IF(ISERROR(VLOOKUP(L247,$M$6:$V$612,7,0)),"",(VLOOKUP(L247,$M$6:$V829,7,0)))</f>
        <v/>
      </c>
      <c r="C235" s="115" t="str">
        <f t="shared" si="55"/>
        <v/>
      </c>
      <c r="D235" s="114" t="str">
        <f t="shared" si="56"/>
        <v/>
      </c>
      <c r="E235" s="115" t="str">
        <f t="shared" si="57"/>
        <v/>
      </c>
      <c r="F235" s="114" t="str">
        <f t="shared" si="58"/>
        <v/>
      </c>
      <c r="G235" s="116" t="str">
        <f t="shared" si="59"/>
        <v/>
      </c>
      <c r="H235" s="117" t="str">
        <f t="shared" si="60"/>
        <v/>
      </c>
      <c r="I235" s="113" t="str">
        <f t="shared" si="61"/>
        <v/>
      </c>
      <c r="L235" s="36">
        <v>230</v>
      </c>
      <c r="M235" s="39">
        <f t="shared" si="62"/>
        <v>0</v>
      </c>
      <c r="N235" s="18"/>
      <c r="O235" s="41"/>
      <c r="P235" s="87"/>
      <c r="Q235" s="96"/>
      <c r="R235" s="96"/>
      <c r="S235" s="87">
        <f>'VALVES &amp; FLANGES'!D61</f>
        <v>0</v>
      </c>
      <c r="T235" s="18">
        <f>'VALVES &amp; FLANGES'!E61</f>
        <v>0</v>
      </c>
      <c r="U235" s="18">
        <f>'VALVES &amp; FLANGES'!F61</f>
        <v>0</v>
      </c>
      <c r="V235" s="87"/>
    </row>
    <row r="236" spans="2:22" ht="14.5" hidden="1">
      <c r="B236" s="257" t="str">
        <f>IF(ISERROR(VLOOKUP(L248,$M$6:$V$612,7,0)),"",(VLOOKUP(L248,$M$6:$V830,7,0)))</f>
        <v/>
      </c>
      <c r="C236" s="115" t="str">
        <f t="shared" si="55"/>
        <v/>
      </c>
      <c r="D236" s="114" t="str">
        <f t="shared" si="56"/>
        <v/>
      </c>
      <c r="E236" s="115" t="str">
        <f t="shared" si="57"/>
        <v/>
      </c>
      <c r="F236" s="114" t="str">
        <f t="shared" si="58"/>
        <v/>
      </c>
      <c r="G236" s="116" t="str">
        <f t="shared" si="59"/>
        <v/>
      </c>
      <c r="H236" s="117" t="str">
        <f t="shared" si="60"/>
        <v/>
      </c>
      <c r="I236" s="113" t="str">
        <f t="shared" si="61"/>
        <v/>
      </c>
      <c r="L236" s="36">
        <v>231</v>
      </c>
      <c r="M236" s="39">
        <f t="shared" si="62"/>
        <v>0</v>
      </c>
      <c r="N236" s="118" t="s">
        <v>28</v>
      </c>
      <c r="O236" s="41"/>
      <c r="P236" s="39">
        <f>'VALVES &amp; FLANGES'!H62</f>
        <v>0</v>
      </c>
      <c r="Q236" s="95">
        <f>'VALVES &amp; FLANGES'!I62</f>
        <v>37.85</v>
      </c>
      <c r="R236" s="95">
        <f>'VALVES &amp; FLANGES'!K62</f>
        <v>0</v>
      </c>
      <c r="S236" s="39">
        <f>'VALVES &amp; FLANGES'!D62</f>
        <v>2810000638</v>
      </c>
      <c r="T236" s="40" t="str">
        <f>'VALVES &amp; FLANGES'!E62</f>
        <v>63 / 2½"</v>
      </c>
      <c r="U236" s="40">
        <f>'VALVES &amp; FLANGES'!F62</f>
        <v>0</v>
      </c>
      <c r="V236" s="39">
        <v>1</v>
      </c>
    </row>
    <row r="237" spans="2:22" ht="14.5" hidden="1">
      <c r="B237" s="257" t="str">
        <f>IF(ISERROR(VLOOKUP(L249,$M$6:$V$612,7,0)),"",(VLOOKUP(L249,$M$6:$V831,7,0)))</f>
        <v/>
      </c>
      <c r="C237" s="115" t="str">
        <f t="shared" si="55"/>
        <v/>
      </c>
      <c r="D237" s="114" t="str">
        <f t="shared" si="56"/>
        <v/>
      </c>
      <c r="E237" s="115" t="str">
        <f t="shared" si="57"/>
        <v/>
      </c>
      <c r="F237" s="114" t="str">
        <f t="shared" si="58"/>
        <v/>
      </c>
      <c r="G237" s="116" t="str">
        <f t="shared" si="59"/>
        <v/>
      </c>
      <c r="H237" s="117" t="str">
        <f t="shared" si="60"/>
        <v/>
      </c>
      <c r="I237" s="113" t="str">
        <f t="shared" si="61"/>
        <v/>
      </c>
      <c r="L237" s="36">
        <v>232</v>
      </c>
      <c r="M237" s="39">
        <f t="shared" si="62"/>
        <v>0</v>
      </c>
      <c r="N237" s="118" t="s">
        <v>28</v>
      </c>
      <c r="O237" s="41"/>
      <c r="P237" s="39">
        <f>'VALVES &amp; FLANGES'!H63</f>
        <v>0</v>
      </c>
      <c r="Q237" s="95">
        <f>'VALVES &amp; FLANGES'!I63</f>
        <v>37.85</v>
      </c>
      <c r="R237" s="95">
        <f>'VALVES &amp; FLANGES'!K63</f>
        <v>0</v>
      </c>
      <c r="S237" s="39">
        <f>'VALVES &amp; FLANGES'!D63</f>
        <v>2810000738</v>
      </c>
      <c r="T237" s="40" t="str">
        <f>'VALVES &amp; FLANGES'!E63</f>
        <v>80 / 3"</v>
      </c>
      <c r="U237" s="40">
        <f>'VALVES &amp; FLANGES'!F63</f>
        <v>0</v>
      </c>
      <c r="V237" s="39">
        <v>1</v>
      </c>
    </row>
    <row r="238" spans="2:22" ht="14.5" hidden="1">
      <c r="B238" s="257" t="str">
        <f>IF(ISERROR(VLOOKUP(L250,$M$6:$V$612,7,0)),"",(VLOOKUP(L250,$M$6:$V832,7,0)))</f>
        <v/>
      </c>
      <c r="C238" s="115" t="str">
        <f t="shared" si="55"/>
        <v/>
      </c>
      <c r="D238" s="114" t="str">
        <f t="shared" si="56"/>
        <v/>
      </c>
      <c r="E238" s="115" t="str">
        <f t="shared" si="57"/>
        <v/>
      </c>
      <c r="F238" s="114" t="str">
        <f t="shared" si="58"/>
        <v/>
      </c>
      <c r="G238" s="116" t="str">
        <f t="shared" si="59"/>
        <v/>
      </c>
      <c r="H238" s="117" t="str">
        <f t="shared" si="60"/>
        <v/>
      </c>
      <c r="I238" s="113" t="str">
        <f t="shared" si="61"/>
        <v/>
      </c>
      <c r="L238" s="36">
        <v>233</v>
      </c>
      <c r="M238" s="39">
        <f t="shared" si="62"/>
        <v>0</v>
      </c>
      <c r="N238" s="118" t="s">
        <v>28</v>
      </c>
      <c r="O238" s="41"/>
      <c r="P238" s="39">
        <f>'VALVES &amp; FLANGES'!H64</f>
        <v>0</v>
      </c>
      <c r="Q238" s="95">
        <f>'VALVES &amp; FLANGES'!I64</f>
        <v>26.69</v>
      </c>
      <c r="R238" s="95">
        <f>'VALVES &amp; FLANGES'!K64</f>
        <v>0</v>
      </c>
      <c r="S238" s="39">
        <f>'VALVES &amp; FLANGES'!D64</f>
        <v>2810806400</v>
      </c>
      <c r="T238" s="40" t="str">
        <f>'VALVES &amp; FLANGES'!E64</f>
        <v>100 / 4"</v>
      </c>
      <c r="U238" s="40">
        <f>'VALVES &amp; FLANGES'!F64</f>
        <v>0</v>
      </c>
      <c r="V238" s="39">
        <v>1</v>
      </c>
    </row>
    <row r="239" spans="2:22" ht="14.5" hidden="1">
      <c r="B239" s="257" t="str">
        <f>IF(ISERROR(VLOOKUP(L251,$M$6:$V$612,7,0)),"",(VLOOKUP(L251,$M$6:$V833,7,0)))</f>
        <v/>
      </c>
      <c r="C239" s="115" t="str">
        <f t="shared" si="55"/>
        <v/>
      </c>
      <c r="D239" s="114" t="str">
        <f t="shared" si="56"/>
        <v/>
      </c>
      <c r="E239" s="115" t="str">
        <f t="shared" si="57"/>
        <v/>
      </c>
      <c r="F239" s="114" t="str">
        <f t="shared" si="58"/>
        <v/>
      </c>
      <c r="G239" s="116" t="str">
        <f t="shared" si="59"/>
        <v/>
      </c>
      <c r="H239" s="117" t="str">
        <f t="shared" si="60"/>
        <v/>
      </c>
      <c r="I239" s="113" t="str">
        <f t="shared" si="61"/>
        <v/>
      </c>
      <c r="L239" s="36">
        <v>234</v>
      </c>
      <c r="M239" s="39">
        <f t="shared" si="62"/>
        <v>0</v>
      </c>
      <c r="N239" s="118" t="s">
        <v>28</v>
      </c>
      <c r="O239" s="41"/>
      <c r="P239" s="39">
        <f>'VALVES &amp; FLANGES'!H65</f>
        <v>0</v>
      </c>
      <c r="Q239" s="95">
        <f>'VALVES &amp; FLANGES'!I65</f>
        <v>35.6</v>
      </c>
      <c r="R239" s="95">
        <f>'VALVES &amp; FLANGES'!K65</f>
        <v>0</v>
      </c>
      <c r="S239" s="39">
        <f>'VALVES &amp; FLANGES'!D65</f>
        <v>2810906400</v>
      </c>
      <c r="T239" s="40" t="str">
        <f>'VALVES &amp; FLANGES'!E65</f>
        <v>158 / 6"</v>
      </c>
      <c r="U239" s="40">
        <f>'VALVES &amp; FLANGES'!F65</f>
        <v>0</v>
      </c>
      <c r="V239" s="39">
        <v>1</v>
      </c>
    </row>
    <row r="240" spans="2:22" ht="14.5" hidden="1">
      <c r="B240" s="257" t="str">
        <f>IF(ISERROR(VLOOKUP(L252,$M$6:$V$612,7,0)),"",(VLOOKUP(L252,$M$6:$V834,7,0)))</f>
        <v/>
      </c>
      <c r="C240" s="115" t="str">
        <f t="shared" si="55"/>
        <v/>
      </c>
      <c r="D240" s="114" t="str">
        <f t="shared" si="56"/>
        <v/>
      </c>
      <c r="E240" s="115" t="str">
        <f t="shared" si="57"/>
        <v/>
      </c>
      <c r="F240" s="114" t="str">
        <f t="shared" si="58"/>
        <v/>
      </c>
      <c r="G240" s="116" t="str">
        <f t="shared" si="59"/>
        <v/>
      </c>
      <c r="H240" s="117" t="str">
        <f t="shared" si="60"/>
        <v/>
      </c>
      <c r="I240" s="113" t="str">
        <f t="shared" si="61"/>
        <v/>
      </c>
      <c r="L240" s="36">
        <v>235</v>
      </c>
      <c r="M240" s="39">
        <f t="shared" si="62"/>
        <v>0</v>
      </c>
      <c r="N240" s="18"/>
      <c r="O240" s="41"/>
      <c r="P240" s="87"/>
      <c r="Q240" s="96"/>
      <c r="R240" s="96"/>
      <c r="S240" s="87"/>
      <c r="T240" s="18"/>
      <c r="U240" s="18"/>
      <c r="V240" s="87"/>
    </row>
    <row r="241" spans="2:22" ht="14.5" hidden="1">
      <c r="B241" s="257" t="str">
        <f>IF(ISERROR(VLOOKUP(L253,$M$6:$V$612,7,0)),"",(VLOOKUP(L253,$M$6:$V835,7,0)))</f>
        <v/>
      </c>
      <c r="C241" s="115" t="str">
        <f t="shared" si="55"/>
        <v/>
      </c>
      <c r="D241" s="114" t="str">
        <f t="shared" si="56"/>
        <v/>
      </c>
      <c r="E241" s="115" t="str">
        <f t="shared" si="57"/>
        <v/>
      </c>
      <c r="F241" s="114" t="str">
        <f t="shared" si="58"/>
        <v/>
      </c>
      <c r="G241" s="116" t="str">
        <f t="shared" si="59"/>
        <v/>
      </c>
      <c r="H241" s="117" t="str">
        <f t="shared" si="60"/>
        <v/>
      </c>
      <c r="I241" s="113" t="str">
        <f t="shared" si="61"/>
        <v/>
      </c>
      <c r="L241" s="36">
        <v>236</v>
      </c>
      <c r="M241" s="39">
        <f t="shared" si="62"/>
        <v>0</v>
      </c>
      <c r="N241" s="18"/>
      <c r="O241" s="41"/>
      <c r="P241" s="87"/>
      <c r="Q241" s="96"/>
      <c r="R241" s="96"/>
      <c r="S241" s="87"/>
      <c r="T241" s="18"/>
      <c r="U241" s="18"/>
      <c r="V241" s="87"/>
    </row>
    <row r="242" spans="2:22" ht="14.5" hidden="1">
      <c r="B242" s="257" t="str">
        <f>IF(ISERROR(VLOOKUP(L254,$M$6:$V$612,7,0)),"",(VLOOKUP(L254,$M$6:$V836,7,0)))</f>
        <v/>
      </c>
      <c r="C242" s="115" t="str">
        <f t="shared" si="55"/>
        <v/>
      </c>
      <c r="D242" s="114" t="str">
        <f t="shared" si="56"/>
        <v/>
      </c>
      <c r="E242" s="115" t="str">
        <f t="shared" si="57"/>
        <v/>
      </c>
      <c r="F242" s="114" t="str">
        <f t="shared" si="58"/>
        <v/>
      </c>
      <c r="G242" s="116" t="str">
        <f t="shared" si="59"/>
        <v/>
      </c>
      <c r="H242" s="117" t="str">
        <f t="shared" si="60"/>
        <v/>
      </c>
      <c r="I242" s="113" t="str">
        <f t="shared" si="61"/>
        <v/>
      </c>
      <c r="L242" s="36">
        <v>237</v>
      </c>
      <c r="M242" s="39">
        <f t="shared" si="62"/>
        <v>0</v>
      </c>
      <c r="N242" s="18"/>
      <c r="O242" s="41"/>
      <c r="P242" s="87"/>
      <c r="Q242" s="96"/>
      <c r="R242" s="96"/>
      <c r="S242" s="87"/>
      <c r="T242" s="18"/>
      <c r="U242" s="18"/>
      <c r="V242" s="87"/>
    </row>
    <row r="243" spans="2:22" ht="14.5" hidden="1">
      <c r="B243" s="257" t="str">
        <f>IF(ISERROR(VLOOKUP(L260,$M$6:$V$612,7,0)),"",(VLOOKUP(L260,$M$6:$V837,7,0)))</f>
        <v/>
      </c>
      <c r="C243" s="115" t="str">
        <f>IF(ISERROR(VLOOKUP(L260,$M$6:$V$612,2,0)),"",(VLOOKUP(L260,$M$6:$V$612,2,0)))</f>
        <v/>
      </c>
      <c r="D243" s="114" t="str">
        <f>IF(ISERROR(VLOOKUP(L260,$M$6:$V$612,8,0)),"",(VLOOKUP(L260,$M$6:$V$612,8,0)))</f>
        <v/>
      </c>
      <c r="E243" s="115" t="str">
        <f>IF(ISERROR(VLOOKUP(L260,$M$6:$V$612,9,FALSE)),"",(VLOOKUP(L260,$M$6:$V$612,9,0)))</f>
        <v/>
      </c>
      <c r="F243" s="114" t="str">
        <f>IF(ISERROR(VLOOKUP(L260,$M$6:$V$612,10,0)),"",(VLOOKUP(L260,$M$6:$V$612,10,0)))</f>
        <v/>
      </c>
      <c r="G243" s="116" t="str">
        <f>IF(ISERROR(VLOOKUP(L260,$M$6:$V$612,5,0)),"",(VLOOKUP(L260,$M$6:$V$612,5,0)))</f>
        <v/>
      </c>
      <c r="H243" s="117" t="str">
        <f>IF(ISERROR(VLOOKUP(L260,$M$6:$V$612,4,0)),"",(VLOOKUP(L260,$M$6:$V$612,4,0)))</f>
        <v/>
      </c>
      <c r="I243" s="113" t="str">
        <f>IF(ISERROR(VLOOKUP(L260,$M$6:$V$612,6,0)),"",(VLOOKUP(L260,$M$6:$V$612,6,0)))</f>
        <v/>
      </c>
      <c r="L243" s="36">
        <v>238</v>
      </c>
      <c r="M243" s="39">
        <f t="shared" si="62"/>
        <v>0</v>
      </c>
      <c r="N243" s="5" t="s">
        <v>42</v>
      </c>
      <c r="O243" s="41"/>
      <c r="P243" s="39">
        <f>'VALVES &amp; FLANGES'!H69</f>
        <v>0</v>
      </c>
      <c r="Q243" s="95">
        <f>'VALVES &amp; FLANGES'!I69</f>
        <v>29.45</v>
      </c>
      <c r="R243" s="95">
        <f>'VALVES &amp; FLANGES'!K69</f>
        <v>0</v>
      </c>
      <c r="S243" s="39" t="str">
        <f>'VALVES &amp; FLANGES'!D69</f>
        <v>0650 0100 16</v>
      </c>
      <c r="T243" s="40" t="str">
        <f>'VALVES &amp; FLANGES'!E69</f>
        <v>63 / 2½"</v>
      </c>
      <c r="U243" s="40">
        <f>'VALVES &amp; FLANGES'!F69</f>
        <v>0</v>
      </c>
      <c r="V243" s="39">
        <v>1</v>
      </c>
    </row>
    <row r="244" spans="2:22" ht="14.5" hidden="1">
      <c r="B244" s="257" t="str">
        <f>IF(ISERROR(VLOOKUP(L261,$M$6:$V$612,7,0)),"",(VLOOKUP(L261,$M$6:$V838,7,0)))</f>
        <v/>
      </c>
      <c r="C244" s="115" t="str">
        <f>IF(ISERROR(VLOOKUP(L261,$M$6:$V$612,2,0)),"",(VLOOKUP(L261,$M$6:$V$612,2,0)))</f>
        <v/>
      </c>
      <c r="D244" s="114" t="str">
        <f>IF(ISERROR(VLOOKUP(L261,$M$6:$V$612,8,0)),"",(VLOOKUP(L261,$M$6:$V$612,8,0)))</f>
        <v/>
      </c>
      <c r="E244" s="115" t="str">
        <f>IF(ISERROR(VLOOKUP(L261,$M$6:$V$612,9,FALSE)),"",(VLOOKUP(L261,$M$6:$V$612,9,0)))</f>
        <v/>
      </c>
      <c r="F244" s="114" t="str">
        <f>IF(ISERROR(VLOOKUP(L261,$M$6:$V$612,10,0)),"",(VLOOKUP(L261,$M$6:$V$612,10,0)))</f>
        <v/>
      </c>
      <c r="G244" s="116" t="str">
        <f>IF(ISERROR(VLOOKUP(L261,$M$6:$V$612,5,0)),"",(VLOOKUP(L261,$M$6:$V$612,5,0)))</f>
        <v/>
      </c>
      <c r="H244" s="117" t="str">
        <f>IF(ISERROR(VLOOKUP(L261,$M$6:$V$612,4,0)),"",(VLOOKUP(L261,$M$6:$V$612,4,0)))</f>
        <v/>
      </c>
      <c r="I244" s="113" t="str">
        <f>IF(ISERROR(VLOOKUP(L261,$M$6:$V$612,6,0)),"",(VLOOKUP(L261,$M$6:$V$612,6,0)))</f>
        <v/>
      </c>
      <c r="L244" s="36">
        <v>239</v>
      </c>
      <c r="M244" s="39">
        <f t="shared" si="62"/>
        <v>0</v>
      </c>
      <c r="N244" s="5" t="s">
        <v>42</v>
      </c>
      <c r="O244" s="41"/>
      <c r="P244" s="39">
        <f>'VALVES &amp; FLANGES'!H70</f>
        <v>0</v>
      </c>
      <c r="Q244" s="95">
        <f>'VALVES &amp; FLANGES'!I70</f>
        <v>16.97</v>
      </c>
      <c r="R244" s="95">
        <f>'VALVES &amp; FLANGES'!K70</f>
        <v>0</v>
      </c>
      <c r="S244" s="39" t="str">
        <f>'VALVES &amp; FLANGES'!D70</f>
        <v>0650 1001 27</v>
      </c>
      <c r="T244" s="40" t="str">
        <f>'VALVES &amp; FLANGES'!E70</f>
        <v>80 / 3"</v>
      </c>
      <c r="U244" s="40">
        <f>'VALVES &amp; FLANGES'!F70</f>
        <v>0</v>
      </c>
      <c r="V244" s="39">
        <v>1</v>
      </c>
    </row>
    <row r="245" spans="2:22" ht="14.5" hidden="1">
      <c r="B245" s="257" t="str">
        <f>IF(ISERROR(VLOOKUP(#REF!,$M$6:$V$612,7,0)),"",(VLOOKUP(#REF!,$M$6:$V839,7,0)))</f>
        <v/>
      </c>
      <c r="C245" s="115" t="str">
        <f>IF(ISERROR(VLOOKUP(#REF!,$M$6:$V$612,2,0)),"",(VLOOKUP(#REF!,$M$6:$V$612,2,0)))</f>
        <v/>
      </c>
      <c r="D245" s="114" t="str">
        <f>IF(ISERROR(VLOOKUP(#REF!,$M$6:$V$612,8,0)),"",(VLOOKUP(#REF!,$M$6:$V$612,8,0)))</f>
        <v/>
      </c>
      <c r="E245" s="115" t="str">
        <f>IF(ISERROR(VLOOKUP(#REF!,$M$6:$V$612,9,FALSE)),"",(VLOOKUP(#REF!,$M$6:$V$612,9,0)))</f>
        <v/>
      </c>
      <c r="F245" s="114" t="str">
        <f>IF(ISERROR(VLOOKUP(#REF!,$M$6:$V$612,10,0)),"",(VLOOKUP(#REF!,$M$6:$V$612,10,0)))</f>
        <v/>
      </c>
      <c r="G245" s="116" t="str">
        <f>IF(ISERROR(VLOOKUP(#REF!,$M$6:$V$612,5,0)),"",(VLOOKUP(#REF!,$M$6:$V$612,5,0)))</f>
        <v/>
      </c>
      <c r="H245" s="117" t="str">
        <f>IF(ISERROR(VLOOKUP(#REF!,$M$6:$V$612,4,0)),"",(VLOOKUP(#REF!,$M$6:$V$612,4,0)))</f>
        <v/>
      </c>
      <c r="I245" s="113" t="str">
        <f>IF(ISERROR(VLOOKUP(#REF!,$M$6:$V$612,6,0)),"",(VLOOKUP(#REF!,$M$6:$V$612,6,0)))</f>
        <v/>
      </c>
      <c r="L245" s="36">
        <v>240</v>
      </c>
      <c r="M245" s="39">
        <f t="shared" si="62"/>
        <v>0</v>
      </c>
      <c r="N245" s="5" t="s">
        <v>42</v>
      </c>
      <c r="O245" s="41"/>
      <c r="P245" s="39">
        <f>'VALVES &amp; FLANGES'!H71</f>
        <v>0</v>
      </c>
      <c r="Q245" s="95">
        <f>'VALVES &amp; FLANGES'!I71</f>
        <v>24.31</v>
      </c>
      <c r="R245" s="95">
        <f>'VALVES &amp; FLANGES'!K71</f>
        <v>0</v>
      </c>
      <c r="S245" s="39" t="str">
        <f>'VALVES &amp; FLANGES'!D71</f>
        <v>0650 0100 06</v>
      </c>
      <c r="T245" s="40" t="str">
        <f>'VALVES &amp; FLANGES'!E71</f>
        <v>100 / 4"</v>
      </c>
      <c r="U245" s="40">
        <f>'VALVES &amp; FLANGES'!F71</f>
        <v>0</v>
      </c>
      <c r="V245" s="39">
        <v>1</v>
      </c>
    </row>
    <row r="246" spans="2:22" ht="14.5" hidden="1">
      <c r="B246" s="257" t="str">
        <f>IF(ISERROR(VLOOKUP(#REF!,$M$6:$V$612,7,0)),"",(VLOOKUP(#REF!,$M$6:$V840,7,0)))</f>
        <v/>
      </c>
      <c r="C246" s="115" t="str">
        <f>IF(ISERROR(VLOOKUP(#REF!,$M$6:$V$612,2,0)),"",(VLOOKUP(#REF!,$M$6:$V$612,2,0)))</f>
        <v/>
      </c>
      <c r="D246" s="114" t="str">
        <f>IF(ISERROR(VLOOKUP(#REF!,$M$6:$V$612,8,0)),"",(VLOOKUP(#REF!,$M$6:$V$612,8,0)))</f>
        <v/>
      </c>
      <c r="E246" s="115" t="str">
        <f>IF(ISERROR(VLOOKUP(#REF!,$M$6:$V$612,9,FALSE)),"",(VLOOKUP(#REF!,$M$6:$V$612,9,0)))</f>
        <v/>
      </c>
      <c r="F246" s="114" t="str">
        <f>IF(ISERROR(VLOOKUP(#REF!,$M$6:$V$612,10,0)),"",(VLOOKUP(#REF!,$M$6:$V$612,10,0)))</f>
        <v/>
      </c>
      <c r="G246" s="116" t="str">
        <f>IF(ISERROR(VLOOKUP(#REF!,$M$6:$V$612,5,0)),"",(VLOOKUP(#REF!,$M$6:$V$612,5,0)))</f>
        <v/>
      </c>
      <c r="H246" s="117" t="str">
        <f>IF(ISERROR(VLOOKUP(#REF!,$M$6:$V$612,4,0)),"",(VLOOKUP(#REF!,$M$6:$V$612,4,0)))</f>
        <v/>
      </c>
      <c r="I246" s="113" t="str">
        <f>IF(ISERROR(VLOOKUP(#REF!,$M$6:$V$612,6,0)),"",(VLOOKUP(#REF!,$M$6:$V$612,6,0)))</f>
        <v/>
      </c>
      <c r="L246" s="36">
        <v>241</v>
      </c>
      <c r="M246" s="39">
        <f t="shared" si="62"/>
        <v>0</v>
      </c>
      <c r="N246" s="5" t="s">
        <v>42</v>
      </c>
      <c r="O246" s="41"/>
      <c r="P246" s="39">
        <f>'VALVES &amp; FLANGES'!H72</f>
        <v>0</v>
      </c>
      <c r="Q246" s="95">
        <f>'VALVES &amp; FLANGES'!I72</f>
        <v>54.78</v>
      </c>
      <c r="R246" s="95">
        <f>'VALVES &amp; FLANGES'!K72</f>
        <v>0</v>
      </c>
      <c r="S246" s="39" t="str">
        <f>'VALVES &amp; FLANGES'!D72</f>
        <v>0650 1001 25</v>
      </c>
      <c r="T246" s="40" t="str">
        <f>'VALVES &amp; FLANGES'!E72</f>
        <v>158 / 6"</v>
      </c>
      <c r="U246" s="40">
        <f>'VALVES &amp; FLANGES'!F72</f>
        <v>0</v>
      </c>
      <c r="V246" s="39">
        <v>1</v>
      </c>
    </row>
    <row r="247" spans="2:22" ht="14.5" hidden="1">
      <c r="B247" s="257" t="str">
        <f>IF(ISERROR(VLOOKUP(#REF!,$M$6:$V$612,7,0)),"",(VLOOKUP(#REF!,$M$6:$V841,7,0)))</f>
        <v/>
      </c>
      <c r="C247" s="115" t="str">
        <f>IF(ISERROR(VLOOKUP(#REF!,$M$6:$V$612,2,0)),"",(VLOOKUP(#REF!,$M$6:$V$612,2,0)))</f>
        <v/>
      </c>
      <c r="D247" s="114" t="str">
        <f>IF(ISERROR(VLOOKUP(#REF!,$M$6:$V$612,8,0)),"",(VLOOKUP(#REF!,$M$6:$V$612,8,0)))</f>
        <v/>
      </c>
      <c r="E247" s="115" t="str">
        <f>IF(ISERROR(VLOOKUP(#REF!,$M$6:$V$612,9,FALSE)),"",(VLOOKUP(#REF!,$M$6:$V$612,9,0)))</f>
        <v/>
      </c>
      <c r="F247" s="114" t="str">
        <f>IF(ISERROR(VLOOKUP(#REF!,$M$6:$V$612,10,0)),"",(VLOOKUP(#REF!,$M$6:$V$612,10,0)))</f>
        <v/>
      </c>
      <c r="G247" s="116" t="str">
        <f>IF(ISERROR(VLOOKUP(#REF!,$M$6:$V$612,5,0)),"",(VLOOKUP(#REF!,$M$6:$V$612,5,0)))</f>
        <v/>
      </c>
      <c r="H247" s="117" t="str">
        <f>IF(ISERROR(VLOOKUP(#REF!,$M$6:$V$612,4,0)),"",(VLOOKUP(#REF!,$M$6:$V$612,4,0)))</f>
        <v/>
      </c>
      <c r="I247" s="113" t="str">
        <f>IF(ISERROR(VLOOKUP(#REF!,$M$6:$V$612,6,0)),"",(VLOOKUP(#REF!,$M$6:$V$612,6,0)))</f>
        <v/>
      </c>
      <c r="L247" s="36">
        <v>242</v>
      </c>
      <c r="M247" s="39">
        <f t="shared" si="62"/>
        <v>0</v>
      </c>
      <c r="N247" s="18"/>
      <c r="O247" s="41"/>
      <c r="P247" s="87">
        <f>'VALVES &amp; FLANGES'!H73</f>
        <v>0</v>
      </c>
      <c r="Q247" s="96">
        <f>'VALVES &amp; FLANGES'!I73</f>
        <v>0</v>
      </c>
      <c r="R247" s="96">
        <f>'VALVES &amp; FLANGES'!K73</f>
        <v>0</v>
      </c>
      <c r="S247" s="87">
        <f>'VALVES &amp; FLANGES'!D73</f>
        <v>0</v>
      </c>
      <c r="T247" s="18">
        <f>'VALVES &amp; FLANGES'!E73</f>
        <v>0</v>
      </c>
      <c r="U247" s="18">
        <f>'VALVES &amp; FLANGES'!F73</f>
        <v>0</v>
      </c>
      <c r="V247" s="87"/>
    </row>
    <row r="248" spans="2:22" ht="14.5" hidden="1">
      <c r="B248" s="257" t="str">
        <f>IF(ISERROR(VLOOKUP(#REF!,$M$6:$V$612,7,0)),"",(VLOOKUP(#REF!,$M$6:$V842,7,0)))</f>
        <v/>
      </c>
      <c r="C248" s="115" t="str">
        <f>IF(ISERROR(VLOOKUP(#REF!,$M$6:$V$612,2,0)),"",(VLOOKUP(#REF!,$M$6:$V$612,2,0)))</f>
        <v/>
      </c>
      <c r="D248" s="114" t="str">
        <f>IF(ISERROR(VLOOKUP(#REF!,$M$6:$V$612,8,0)),"",(VLOOKUP(#REF!,$M$6:$V$612,8,0)))</f>
        <v/>
      </c>
      <c r="E248" s="115" t="str">
        <f>IF(ISERROR(VLOOKUP(#REF!,$M$6:$V$612,9,FALSE)),"",(VLOOKUP(#REF!,$M$6:$V$612,9,0)))</f>
        <v/>
      </c>
      <c r="F248" s="114" t="str">
        <f>IF(ISERROR(VLOOKUP(#REF!,$M$6:$V$612,10,0)),"",(VLOOKUP(#REF!,$M$6:$V$612,10,0)))</f>
        <v/>
      </c>
      <c r="G248" s="116" t="str">
        <f>IF(ISERROR(VLOOKUP(#REF!,$M$6:$V$612,5,0)),"",(VLOOKUP(#REF!,$M$6:$V$612,5,0)))</f>
        <v/>
      </c>
      <c r="H248" s="117" t="str">
        <f>IF(ISERROR(VLOOKUP(#REF!,$M$6:$V$612,4,0)),"",(VLOOKUP(#REF!,$M$6:$V$612,4,0)))</f>
        <v/>
      </c>
      <c r="I248" s="113" t="str">
        <f>IF(ISERROR(VLOOKUP(#REF!,$M$6:$V$612,6,0)),"",(VLOOKUP(#REF!,$M$6:$V$612,6,0)))</f>
        <v/>
      </c>
      <c r="L248" s="36">
        <v>243</v>
      </c>
      <c r="M248" s="39">
        <f t="shared" si="62"/>
        <v>0</v>
      </c>
      <c r="N248" s="18"/>
      <c r="O248" s="41"/>
      <c r="P248" s="87">
        <f>'VALVES &amp; FLANGES'!H74</f>
        <v>0</v>
      </c>
      <c r="Q248" s="96">
        <f>'VALVES &amp; FLANGES'!I74</f>
        <v>0</v>
      </c>
      <c r="R248" s="96">
        <f>'VALVES &amp; FLANGES'!K74</f>
        <v>0</v>
      </c>
      <c r="S248" s="87">
        <f>'VALVES &amp; FLANGES'!D74</f>
        <v>0</v>
      </c>
      <c r="T248" s="18">
        <f>'VALVES &amp; FLANGES'!E74</f>
        <v>0</v>
      </c>
      <c r="U248" s="18">
        <f>'VALVES &amp; FLANGES'!F74</f>
        <v>0</v>
      </c>
      <c r="V248" s="87"/>
    </row>
    <row r="249" spans="2:22" ht="14.5" hidden="1">
      <c r="B249" s="257"/>
      <c r="C249" s="115"/>
      <c r="D249" s="114"/>
      <c r="E249" s="115"/>
      <c r="F249" s="114"/>
      <c r="G249" s="116"/>
      <c r="H249" s="117"/>
      <c r="I249" s="113"/>
      <c r="L249" s="36">
        <v>244</v>
      </c>
      <c r="M249" s="39">
        <f t="shared" si="62"/>
        <v>0</v>
      </c>
      <c r="N249" s="6" t="s">
        <v>335</v>
      </c>
      <c r="O249" s="41"/>
      <c r="P249" s="39">
        <f>'VALVES &amp; FLANGES'!H75</f>
        <v>0</v>
      </c>
      <c r="Q249" s="95">
        <f>'VALVES &amp; FLANGES'!I75</f>
        <v>72.400000000000006</v>
      </c>
      <c r="R249" s="95">
        <f>'VALVES &amp; FLANGES'!K75</f>
        <v>0</v>
      </c>
      <c r="S249" s="39">
        <f>'VALVES &amp; FLANGES'!D75</f>
        <v>2810025408</v>
      </c>
      <c r="T249" s="40" t="str">
        <f>'VALVES &amp; FLANGES'!E75</f>
        <v>4"</v>
      </c>
      <c r="U249" s="40" t="str">
        <f>'VALVES &amp; FLANGES'!F75</f>
        <v>1 pack = 8 bolts</v>
      </c>
      <c r="V249" s="39">
        <v>1</v>
      </c>
    </row>
    <row r="250" spans="2:22" ht="14.5" hidden="1">
      <c r="B250" s="257"/>
      <c r="C250" s="115"/>
      <c r="D250" s="114"/>
      <c r="E250" s="115"/>
      <c r="F250" s="114"/>
      <c r="G250" s="116"/>
      <c r="H250" s="117"/>
      <c r="I250" s="113"/>
      <c r="L250" s="36">
        <v>245</v>
      </c>
      <c r="M250" s="39">
        <f t="shared" si="62"/>
        <v>0</v>
      </c>
      <c r="N250" s="6" t="s">
        <v>335</v>
      </c>
      <c r="O250" s="41"/>
      <c r="P250" s="39">
        <f>'VALVES &amp; FLANGES'!H76</f>
        <v>0</v>
      </c>
      <c r="Q250" s="95">
        <f>'VALVES &amp; FLANGES'!I76</f>
        <v>52.95</v>
      </c>
      <c r="R250" s="95">
        <f>'VALVES &amp; FLANGES'!K76</f>
        <v>0</v>
      </c>
      <c r="S250" s="39">
        <f>'VALVES &amp; FLANGES'!D76</f>
        <v>2810045408</v>
      </c>
      <c r="T250" s="40" t="str">
        <f>'VALVES &amp; FLANGES'!E76</f>
        <v>6"</v>
      </c>
      <c r="U250" s="40" t="str">
        <f>'VALVES &amp; FLANGES'!F76</f>
        <v>1 pack = 8 bolts</v>
      </c>
      <c r="V250" s="39">
        <v>1</v>
      </c>
    </row>
    <row r="251" spans="2:22" ht="14.5" hidden="1">
      <c r="B251" s="257"/>
      <c r="C251" s="115"/>
      <c r="D251" s="114"/>
      <c r="E251" s="115"/>
      <c r="F251" s="114"/>
      <c r="G251" s="116"/>
      <c r="H251" s="117"/>
      <c r="I251" s="113"/>
      <c r="L251" s="36">
        <v>246</v>
      </c>
      <c r="M251" s="39">
        <f t="shared" si="62"/>
        <v>0</v>
      </c>
      <c r="N251" s="18"/>
      <c r="O251" s="41"/>
      <c r="P251" s="87">
        <f>'VALVES &amp; FLANGES'!H77</f>
        <v>0</v>
      </c>
      <c r="Q251" s="96">
        <f>'VALVES &amp; FLANGES'!I77</f>
        <v>0</v>
      </c>
      <c r="R251" s="96">
        <f>'VALVES &amp; FLANGES'!K77</f>
        <v>0</v>
      </c>
      <c r="S251" s="87">
        <f>'VALVES &amp; FLANGES'!D77</f>
        <v>0</v>
      </c>
      <c r="T251" s="18">
        <f>'VALVES &amp; FLANGES'!E77</f>
        <v>0</v>
      </c>
      <c r="U251" s="18">
        <f>'VALVES &amp; FLANGES'!F77</f>
        <v>0</v>
      </c>
      <c r="V251" s="87"/>
    </row>
    <row r="252" spans="2:22" ht="14.5" hidden="1">
      <c r="B252" s="257"/>
      <c r="C252" s="115"/>
      <c r="D252" s="114"/>
      <c r="E252" s="115"/>
      <c r="F252" s="114"/>
      <c r="G252" s="116"/>
      <c r="H252" s="117"/>
      <c r="I252" s="113"/>
      <c r="L252" s="36">
        <v>247</v>
      </c>
      <c r="M252" s="39">
        <f t="shared" si="62"/>
        <v>0</v>
      </c>
      <c r="N252" s="18"/>
      <c r="O252" s="41"/>
      <c r="P252" s="87">
        <f>'VALVES &amp; FLANGES'!H78</f>
        <v>0</v>
      </c>
      <c r="Q252" s="96">
        <f>'VALVES &amp; FLANGES'!I78</f>
        <v>0</v>
      </c>
      <c r="R252" s="96">
        <f>'VALVES &amp; FLANGES'!K78</f>
        <v>0</v>
      </c>
      <c r="S252" s="87">
        <f>'VALVES &amp; FLANGES'!D78</f>
        <v>0</v>
      </c>
      <c r="T252" s="18">
        <f>'VALVES &amp; FLANGES'!E78</f>
        <v>0</v>
      </c>
      <c r="U252" s="18">
        <f>'VALVES &amp; FLANGES'!F78</f>
        <v>0</v>
      </c>
      <c r="V252" s="87"/>
    </row>
    <row r="253" spans="2:22" ht="14.5" hidden="1">
      <c r="B253" s="257"/>
      <c r="C253" s="115"/>
      <c r="D253" s="114"/>
      <c r="E253" s="115"/>
      <c r="F253" s="114"/>
      <c r="G253" s="116"/>
      <c r="H253" s="117"/>
      <c r="I253" s="113"/>
      <c r="L253" s="36">
        <v>248</v>
      </c>
      <c r="M253" s="39">
        <f t="shared" si="62"/>
        <v>0</v>
      </c>
      <c r="N253" s="18"/>
      <c r="O253" s="41"/>
      <c r="P253" s="87">
        <f>'VALVES &amp; FLANGES'!H79</f>
        <v>0</v>
      </c>
      <c r="Q253" s="96">
        <f>'VALVES &amp; FLANGES'!I79</f>
        <v>0</v>
      </c>
      <c r="R253" s="96">
        <f>'VALVES &amp; FLANGES'!K79</f>
        <v>0</v>
      </c>
      <c r="S253" s="87">
        <f>'VALVES &amp; FLANGES'!D79</f>
        <v>0</v>
      </c>
      <c r="T253" s="18">
        <f>'VALVES &amp; FLANGES'!E79</f>
        <v>0</v>
      </c>
      <c r="U253" s="18">
        <f>'VALVES &amp; FLANGES'!F79</f>
        <v>0</v>
      </c>
      <c r="V253" s="87"/>
    </row>
    <row r="254" spans="2:22" ht="14.5" hidden="1">
      <c r="B254" s="257"/>
      <c r="C254" s="115"/>
      <c r="D254" s="114"/>
      <c r="E254" s="115"/>
      <c r="F254" s="114"/>
      <c r="G254" s="116"/>
      <c r="H254" s="117"/>
      <c r="I254" s="113"/>
      <c r="L254" s="36">
        <v>249</v>
      </c>
      <c r="M254" s="39">
        <f t="shared" si="62"/>
        <v>0</v>
      </c>
      <c r="N254" s="18"/>
      <c r="O254" s="41"/>
      <c r="P254" s="87">
        <f>'VALVES &amp; FLANGES'!H80</f>
        <v>0</v>
      </c>
      <c r="Q254" s="96">
        <f>'VALVES &amp; FLANGES'!I80</f>
        <v>0</v>
      </c>
      <c r="R254" s="96">
        <f>'VALVES &amp; FLANGES'!K80</f>
        <v>0</v>
      </c>
      <c r="S254" s="87">
        <f>'VALVES &amp; FLANGES'!D80</f>
        <v>0</v>
      </c>
      <c r="T254" s="18">
        <f>'VALVES &amp; FLANGES'!E80</f>
        <v>0</v>
      </c>
      <c r="U254" s="18">
        <f>'VALVES &amp; FLANGES'!F80</f>
        <v>0</v>
      </c>
      <c r="V254" s="87"/>
    </row>
    <row r="255" spans="2:22" ht="14.5" hidden="1">
      <c r="B255" s="257"/>
      <c r="C255" s="115"/>
      <c r="D255" s="114"/>
      <c r="E255" s="115"/>
      <c r="F255" s="114"/>
      <c r="G255" s="116"/>
      <c r="H255" s="117"/>
      <c r="I255" s="113"/>
      <c r="L255" s="36">
        <v>250</v>
      </c>
      <c r="M255" s="39">
        <f t="shared" si="62"/>
        <v>0</v>
      </c>
      <c r="N255" s="41"/>
      <c r="O255" s="41"/>
      <c r="P255" s="86">
        <f>'VALVES &amp; FLANGES'!H81</f>
        <v>0</v>
      </c>
      <c r="Q255" s="97">
        <f>'VALVES &amp; FLANGES'!I81</f>
        <v>0</v>
      </c>
      <c r="R255" s="97">
        <f>'VALVES &amp; FLANGES'!K81</f>
        <v>0</v>
      </c>
      <c r="S255" s="86">
        <f>'VALVES &amp; FLANGES'!D81</f>
        <v>0</v>
      </c>
      <c r="T255" s="41">
        <f>'VALVES &amp; FLANGES'!E81</f>
        <v>0</v>
      </c>
      <c r="U255" s="41">
        <f>'VALVES &amp; FLANGES'!F81</f>
        <v>0</v>
      </c>
      <c r="V255" s="86"/>
    </row>
    <row r="256" spans="2:22" ht="14.5" hidden="1">
      <c r="B256" s="257"/>
      <c r="C256" s="115"/>
      <c r="D256" s="114"/>
      <c r="E256" s="115"/>
      <c r="F256" s="114"/>
      <c r="G256" s="116"/>
      <c r="H256" s="117"/>
      <c r="I256" s="113"/>
      <c r="L256" s="36">
        <v>251</v>
      </c>
      <c r="M256" s="39">
        <f t="shared" si="62"/>
        <v>0</v>
      </c>
      <c r="N256" s="40" t="s">
        <v>336</v>
      </c>
      <c r="O256" s="41"/>
      <c r="P256" s="39">
        <f>'NPT Adapters'!H5</f>
        <v>0</v>
      </c>
      <c r="Q256" s="98" t="e">
        <f>'NPT Adapters'!I5</f>
        <v>#REF!</v>
      </c>
      <c r="R256" s="98" t="e">
        <f>'NPT Adapters'!K5</f>
        <v>#REF!</v>
      </c>
      <c r="S256" s="39">
        <f>'NPT Adapters'!D5</f>
        <v>2811651880</v>
      </c>
      <c r="T256" s="40" t="str">
        <f>'NPT Adapters'!E5</f>
        <v>63 / 2 1/2"</v>
      </c>
      <c r="U256" s="40" t="str">
        <f>'NPT Adapters'!F5</f>
        <v>2"</v>
      </c>
      <c r="V256" s="39">
        <v>1</v>
      </c>
    </row>
    <row r="257" spans="2:22" ht="14.5" hidden="1">
      <c r="B257" s="257"/>
      <c r="C257" s="115"/>
      <c r="D257" s="114"/>
      <c r="E257" s="115"/>
      <c r="F257" s="114"/>
      <c r="G257" s="116"/>
      <c r="H257" s="117"/>
      <c r="I257" s="113"/>
      <c r="L257" s="36">
        <v>252</v>
      </c>
      <c r="M257" s="39">
        <f t="shared" si="62"/>
        <v>0</v>
      </c>
      <c r="N257" s="40" t="s">
        <v>336</v>
      </c>
      <c r="O257" s="41"/>
      <c r="P257" s="39">
        <f>'NPT Adapters'!H6</f>
        <v>0</v>
      </c>
      <c r="Q257" s="98" t="e">
        <f>'NPT Adapters'!I6</f>
        <v>#REF!</v>
      </c>
      <c r="R257" s="98" t="e">
        <f>'NPT Adapters'!K6</f>
        <v>#REF!</v>
      </c>
      <c r="S257" s="39">
        <f>'NPT Adapters'!D6</f>
        <v>2811661880</v>
      </c>
      <c r="T257" s="40" t="str">
        <f>'NPT Adapters'!E6</f>
        <v>63 2 1/2"</v>
      </c>
      <c r="U257" s="40" t="str">
        <f>'NPT Adapters'!F6</f>
        <v>2½"</v>
      </c>
      <c r="V257" s="39">
        <v>1</v>
      </c>
    </row>
    <row r="258" spans="2:22" ht="14.5" hidden="1">
      <c r="B258" s="257"/>
      <c r="C258" s="115"/>
      <c r="D258" s="114"/>
      <c r="E258" s="115"/>
      <c r="F258" s="114"/>
      <c r="G258" s="116"/>
      <c r="H258" s="117"/>
      <c r="I258" s="113"/>
      <c r="L258" s="36">
        <v>253</v>
      </c>
      <c r="M258" s="39">
        <f t="shared" si="62"/>
        <v>0</v>
      </c>
      <c r="N258" s="40" t="s">
        <v>336</v>
      </c>
      <c r="O258" s="41"/>
      <c r="P258" s="39">
        <f>'NPT Adapters'!H7</f>
        <v>0</v>
      </c>
      <c r="Q258" s="98" t="e">
        <f>'NPT Adapters'!I7</f>
        <v>#REF!</v>
      </c>
      <c r="R258" s="98" t="e">
        <f>'NPT Adapters'!K7</f>
        <v>#REF!</v>
      </c>
      <c r="S258" s="39">
        <f>'NPT Adapters'!D7</f>
        <v>2811761880</v>
      </c>
      <c r="T258" s="40" t="str">
        <f>'NPT Adapters'!E7</f>
        <v>80 / 3"</v>
      </c>
      <c r="U258" s="40" t="str">
        <f>'NPT Adapters'!F7</f>
        <v>2½"</v>
      </c>
      <c r="V258" s="39">
        <v>1</v>
      </c>
    </row>
    <row r="259" spans="2:22" ht="14.5" hidden="1">
      <c r="B259" s="257"/>
      <c r="C259" s="115"/>
      <c r="D259" s="114"/>
      <c r="E259" s="115"/>
      <c r="F259" s="114"/>
      <c r="G259" s="116"/>
      <c r="H259" s="117"/>
      <c r="I259" s="113"/>
      <c r="L259" s="36">
        <v>254</v>
      </c>
      <c r="M259" s="39">
        <f t="shared" si="62"/>
        <v>0</v>
      </c>
      <c r="N259" s="40" t="s">
        <v>336</v>
      </c>
      <c r="O259" s="41"/>
      <c r="P259" s="39">
        <f>'NPT Adapters'!H8</f>
        <v>0</v>
      </c>
      <c r="Q259" s="98" t="e">
        <f>'NPT Adapters'!I8</f>
        <v>#REF!</v>
      </c>
      <c r="R259" s="98" t="e">
        <f>'NPT Adapters'!K8</f>
        <v>#REF!</v>
      </c>
      <c r="S259" s="39">
        <f>'NPT Adapters'!D8</f>
        <v>2811771880</v>
      </c>
      <c r="T259" s="40" t="str">
        <f>'NPT Adapters'!E8</f>
        <v>80 / 3"</v>
      </c>
      <c r="U259" s="40" t="str">
        <f>'NPT Adapters'!F8</f>
        <v>3"</v>
      </c>
      <c r="V259" s="39">
        <v>1</v>
      </c>
    </row>
    <row r="260" spans="2:22" ht="14.5" hidden="1">
      <c r="B260" s="257"/>
      <c r="C260" s="115"/>
      <c r="D260" s="114"/>
      <c r="E260" s="115"/>
      <c r="F260" s="114"/>
      <c r="G260" s="116"/>
      <c r="H260" s="117"/>
      <c r="I260" s="113"/>
      <c r="L260" s="36">
        <v>255</v>
      </c>
      <c r="M260" s="39">
        <f t="shared" si="62"/>
        <v>0</v>
      </c>
      <c r="N260" s="18"/>
      <c r="O260" s="41"/>
      <c r="P260" s="87">
        <f>'NPT Adapters'!H9</f>
        <v>0</v>
      </c>
      <c r="Q260" s="100">
        <f>'NPT Adapters'!I9</f>
        <v>0</v>
      </c>
      <c r="R260" s="100">
        <f>'NPT Adapters'!K9</f>
        <v>0</v>
      </c>
      <c r="S260" s="87">
        <f>'NPT Adapters'!D9</f>
        <v>0</v>
      </c>
      <c r="T260" s="18">
        <f>'NPT Adapters'!E9</f>
        <v>0</v>
      </c>
      <c r="U260" s="18">
        <f>'NPT Adapters'!F9</f>
        <v>0</v>
      </c>
      <c r="V260" s="87"/>
    </row>
    <row r="261" spans="2:22" ht="14.5" hidden="1">
      <c r="B261" s="257"/>
      <c r="C261" s="115"/>
      <c r="D261" s="114"/>
      <c r="E261" s="115"/>
      <c r="F261" s="114"/>
      <c r="G261" s="116"/>
      <c r="H261" s="117"/>
      <c r="I261" s="113"/>
      <c r="L261" s="36">
        <v>256</v>
      </c>
      <c r="M261" s="39">
        <f t="shared" si="62"/>
        <v>0</v>
      </c>
      <c r="N261" s="18"/>
      <c r="O261" s="41"/>
      <c r="P261" s="87">
        <f>'NPT Adapters'!H10</f>
        <v>0</v>
      </c>
      <c r="Q261" s="100">
        <f>'NPT Adapters'!I10</f>
        <v>0</v>
      </c>
      <c r="R261" s="100">
        <f>'NPT Adapters'!K10</f>
        <v>0</v>
      </c>
      <c r="S261" s="87">
        <f>'NPT Adapters'!D10</f>
        <v>0</v>
      </c>
      <c r="T261" s="18">
        <f>'NPT Adapters'!E10</f>
        <v>0</v>
      </c>
      <c r="U261" s="18">
        <f>'NPT Adapters'!F10</f>
        <v>0</v>
      </c>
      <c r="V261" s="87"/>
    </row>
    <row r="262" spans="2:22" ht="14.5" hidden="1">
      <c r="B262" s="257" t="str">
        <f>IF(ISERROR(VLOOKUP(L271,$M$6:$V$612,7,0)),"",(VLOOKUP(L271,$M$6:$V859,7,0)))</f>
        <v/>
      </c>
      <c r="C262" s="115" t="str">
        <f>IF(ISERROR(VLOOKUP(L271,$M$6:$V$612,2,0)),"",(VLOOKUP(L271,$M$6:$V$612,2,0)))</f>
        <v/>
      </c>
      <c r="D262" s="114" t="str">
        <f>IF(ISERROR(VLOOKUP(L271,$M$6:$V$612,8,0)),"",(VLOOKUP(L271,$M$6:$V$612,8,0)))</f>
        <v/>
      </c>
      <c r="E262" s="115" t="str">
        <f>IF(ISERROR(VLOOKUP(L271,$M$6:$V$612,9,FALSE)),"",(VLOOKUP(L271,$M$6:$V$612,9,0)))</f>
        <v/>
      </c>
      <c r="F262" s="114" t="str">
        <f>IF(ISERROR(VLOOKUP(L271,$M$6:$V$612,10,0)),"",(VLOOKUP(L271,$M$6:$V$612,10,0)))</f>
        <v/>
      </c>
      <c r="G262" s="116" t="str">
        <f>IF(ISERROR(VLOOKUP(L271,$M$6:$V$612,5,0)),"",(VLOOKUP(L271,$M$6:$V$612,5,0)))</f>
        <v/>
      </c>
      <c r="H262" s="117" t="str">
        <f>IF(ISERROR(VLOOKUP(L271,$M$6:$V$612,4,0)),"",(VLOOKUP(L271,$M$6:$V$612,4,0)))</f>
        <v/>
      </c>
      <c r="I262" s="113" t="str">
        <f>IF(ISERROR(VLOOKUP(L271,$M$6:$V$612,6,0)),"",(VLOOKUP(L271,$M$6:$V$612,6,0)))</f>
        <v/>
      </c>
      <c r="L262" s="36">
        <v>257</v>
      </c>
      <c r="M262" s="39">
        <f t="shared" si="62"/>
        <v>0</v>
      </c>
      <c r="N262" s="18"/>
      <c r="O262" s="41"/>
      <c r="P262" s="87">
        <f>'NPT Adapters'!H11</f>
        <v>0</v>
      </c>
      <c r="Q262" s="100">
        <f>'NPT Adapters'!I11</f>
        <v>0</v>
      </c>
      <c r="R262" s="100">
        <f>'NPT Adapters'!K11</f>
        <v>0</v>
      </c>
      <c r="S262" s="87">
        <f>'NPT Adapters'!D11</f>
        <v>0</v>
      </c>
      <c r="T262" s="18" t="str">
        <f>'NPT Adapters'!E11</f>
        <v>AIRnet Φ</v>
      </c>
      <c r="U262" s="18" t="str">
        <f>'NPT Adapters'!F11</f>
        <v>Threaded Outlet Φ</v>
      </c>
      <c r="V262" s="87"/>
    </row>
    <row r="263" spans="2:22" ht="14.5" hidden="1">
      <c r="B263" s="257" t="str">
        <f>IF(ISERROR(VLOOKUP(L272,$M$6:$V$612,7,0)),"",(VLOOKUP(L272,$M$6:$V860,7,0)))</f>
        <v/>
      </c>
      <c r="C263" s="115" t="str">
        <f>IF(ISERROR(VLOOKUP(L272,$M$6:$V$612,2,0)),"",(VLOOKUP(L272,$M$6:$V$612,2,0)))</f>
        <v/>
      </c>
      <c r="D263" s="114" t="str">
        <f>IF(ISERROR(VLOOKUP(L272,$M$6:$V$612,8,0)),"",(VLOOKUP(L272,$M$6:$V$612,8,0)))</f>
        <v/>
      </c>
      <c r="E263" s="115" t="str">
        <f>IF(ISERROR(VLOOKUP(L272,$M$6:$V$612,9,FALSE)),"",(VLOOKUP(L272,$M$6:$V$612,9,0)))</f>
        <v/>
      </c>
      <c r="F263" s="114" t="str">
        <f>IF(ISERROR(VLOOKUP(L272,$M$6:$V$612,10,0)),"",(VLOOKUP(L272,$M$6:$V$612,10,0)))</f>
        <v/>
      </c>
      <c r="G263" s="116" t="str">
        <f>IF(ISERROR(VLOOKUP(L272,$M$6:$V$612,5,0)),"",(VLOOKUP(L272,$M$6:$V$612,5,0)))</f>
        <v/>
      </c>
      <c r="H263" s="117" t="str">
        <f>IF(ISERROR(VLOOKUP(L272,$M$6:$V$612,4,0)),"",(VLOOKUP(L272,$M$6:$V$612,4,0)))</f>
        <v/>
      </c>
      <c r="I263" s="113" t="str">
        <f>IF(ISERROR(VLOOKUP(L272,$M$6:$V$612,6,0)),"",(VLOOKUP(L272,$M$6:$V$612,6,0)))</f>
        <v/>
      </c>
      <c r="L263" s="36">
        <v>258</v>
      </c>
      <c r="M263" s="39">
        <f t="shared" si="62"/>
        <v>0</v>
      </c>
      <c r="N263" s="40" t="s">
        <v>336</v>
      </c>
      <c r="O263" s="41"/>
      <c r="P263" s="39">
        <f>'NPT Adapters'!H12</f>
        <v>0</v>
      </c>
      <c r="Q263" s="98">
        <f>'NPT Adapters'!I12</f>
        <v>25.75</v>
      </c>
      <c r="R263" s="98">
        <f>'NPT Adapters'!K12</f>
        <v>0</v>
      </c>
      <c r="S263" s="39">
        <f>'NPT Adapters'!D12</f>
        <v>2811101880</v>
      </c>
      <c r="T263" s="40" t="str">
        <f>'NPT Adapters'!E12</f>
        <v>20 / ¾"</v>
      </c>
      <c r="U263" s="40" t="str">
        <f>'NPT Adapters'!F12</f>
        <v>1/2"</v>
      </c>
      <c r="V263" s="39">
        <v>1</v>
      </c>
    </row>
    <row r="264" spans="2:22" ht="14.5" hidden="1">
      <c r="B264" s="257" t="str">
        <f>IF(ISERROR(VLOOKUP(L276,$M$6:$V$612,7,0)),"",(VLOOKUP(L276,$M$6:$V864,7,0)))</f>
        <v/>
      </c>
      <c r="C264" s="115" t="str">
        <f>IF(ISERROR(VLOOKUP(L276,$M$6:$V$612,2,0)),"",(VLOOKUP(L276,$M$6:$V$612,2,0)))</f>
        <v/>
      </c>
      <c r="D264" s="114" t="str">
        <f>IF(ISERROR(VLOOKUP(L276,$M$6:$V$612,8,0)),"",(VLOOKUP(L276,$M$6:$V$612,8,0)))</f>
        <v/>
      </c>
      <c r="E264" s="115" t="str">
        <f>IF(ISERROR(VLOOKUP(L276,$M$6:$V$612,9,FALSE)),"",(VLOOKUP(L276,$M$6:$V$612,9,0)))</f>
        <v/>
      </c>
      <c r="F264" s="114" t="str">
        <f>IF(ISERROR(VLOOKUP(L276,$M$6:$V$612,10,0)),"",(VLOOKUP(L276,$M$6:$V$612,10,0)))</f>
        <v/>
      </c>
      <c r="G264" s="116" t="str">
        <f>IF(ISERROR(VLOOKUP(L276,$M$6:$V$612,5,0)),"",(VLOOKUP(L276,$M$6:$V$612,5,0)))</f>
        <v/>
      </c>
      <c r="H264" s="117" t="str">
        <f>IF(ISERROR(VLOOKUP(L276,$M$6:$V$612,4,0)),"",(VLOOKUP(L276,$M$6:$V$612,4,0)))</f>
        <v/>
      </c>
      <c r="I264" s="113" t="str">
        <f>IF(ISERROR(VLOOKUP(L276,$M$6:$V$612,6,0)),"",(VLOOKUP(L276,$M$6:$V$612,6,0)))</f>
        <v/>
      </c>
      <c r="L264" s="36">
        <v>259</v>
      </c>
      <c r="M264" s="39">
        <f t="shared" si="62"/>
        <v>0</v>
      </c>
      <c r="N264" s="40" t="s">
        <v>336</v>
      </c>
      <c r="O264" s="41"/>
      <c r="P264" s="39">
        <f>'NPT Adapters'!H13</f>
        <v>0</v>
      </c>
      <c r="Q264" s="98">
        <f>'NPT Adapters'!I13</f>
        <v>30.36</v>
      </c>
      <c r="R264" s="98">
        <f>'NPT Adapters'!K13</f>
        <v>0</v>
      </c>
      <c r="S264" s="39">
        <f>'NPT Adapters'!D13</f>
        <v>2811111880</v>
      </c>
      <c r="T264" s="40" t="str">
        <f>'NPT Adapters'!E13</f>
        <v>20 / ¾"</v>
      </c>
      <c r="U264" s="40" t="str">
        <f>'NPT Adapters'!F13</f>
        <v>3/4"</v>
      </c>
      <c r="V264" s="39">
        <v>1</v>
      </c>
    </row>
    <row r="265" spans="2:22" ht="14.5" hidden="1">
      <c r="B265" s="257" t="str">
        <f>IF(ISERROR(VLOOKUP(L277,$M$6:$V$612,7,0)),"",(VLOOKUP(L277,$M$6:$V865,7,0)))</f>
        <v/>
      </c>
      <c r="C265" s="115" t="str">
        <f>IF(ISERROR(VLOOKUP(L277,$M$6:$V$612,2,0)),"",(VLOOKUP(L277,$M$6:$V$612,2,0)))</f>
        <v/>
      </c>
      <c r="D265" s="114" t="str">
        <f>IF(ISERROR(VLOOKUP(L277,$M$6:$V$612,8,0)),"",(VLOOKUP(L277,$M$6:$V$612,8,0)))</f>
        <v/>
      </c>
      <c r="E265" s="115" t="str">
        <f>IF(ISERROR(VLOOKUP(L277,$M$6:$V$612,9,FALSE)),"",(VLOOKUP(L277,$M$6:$V$612,9,0)))</f>
        <v/>
      </c>
      <c r="F265" s="114" t="str">
        <f>IF(ISERROR(VLOOKUP(L277,$M$6:$V$612,10,0)),"",(VLOOKUP(L277,$M$6:$V$612,10,0)))</f>
        <v/>
      </c>
      <c r="G265" s="116" t="str">
        <f>IF(ISERROR(VLOOKUP(L277,$M$6:$V$612,5,0)),"",(VLOOKUP(L277,$M$6:$V$612,5,0)))</f>
        <v/>
      </c>
      <c r="H265" s="117" t="str">
        <f>IF(ISERROR(VLOOKUP(L277,$M$6:$V$612,4,0)),"",(VLOOKUP(L277,$M$6:$V$612,4,0)))</f>
        <v/>
      </c>
      <c r="I265" s="113" t="str">
        <f>IF(ISERROR(VLOOKUP(L277,$M$6:$V$612,6,0)),"",(VLOOKUP(L277,$M$6:$V$612,6,0)))</f>
        <v/>
      </c>
      <c r="L265" s="36">
        <v>260</v>
      </c>
      <c r="M265" s="39">
        <f t="shared" si="62"/>
        <v>0</v>
      </c>
      <c r="N265" s="40" t="s">
        <v>336</v>
      </c>
      <c r="O265" s="41"/>
      <c r="P265" s="39">
        <f>'NPT Adapters'!H14</f>
        <v>0</v>
      </c>
      <c r="Q265" s="98">
        <f>'NPT Adapters'!I14</f>
        <v>32.54</v>
      </c>
      <c r="R265" s="98">
        <f>'NPT Adapters'!K14</f>
        <v>0</v>
      </c>
      <c r="S265" s="39">
        <f>'NPT Adapters'!D14</f>
        <v>2811211880</v>
      </c>
      <c r="T265" s="40" t="str">
        <f>'NPT Adapters'!E14</f>
        <v>25 / 1"</v>
      </c>
      <c r="U265" s="40" t="str">
        <f>'NPT Adapters'!F14</f>
        <v>3/4"</v>
      </c>
      <c r="V265" s="39">
        <v>1</v>
      </c>
    </row>
    <row r="266" spans="2:22" ht="14.5" hidden="1">
      <c r="B266" s="257"/>
      <c r="C266" s="115"/>
      <c r="D266" s="114"/>
      <c r="E266" s="115"/>
      <c r="F266" s="114"/>
      <c r="G266" s="116"/>
      <c r="H266" s="117"/>
      <c r="I266" s="113"/>
      <c r="L266" s="36">
        <v>261</v>
      </c>
      <c r="M266" s="39">
        <f t="shared" si="62"/>
        <v>0</v>
      </c>
      <c r="N266" s="40" t="s">
        <v>336</v>
      </c>
      <c r="O266" s="41"/>
      <c r="P266" s="39">
        <f>'NPT Adapters'!H15</f>
        <v>0</v>
      </c>
      <c r="Q266" s="98">
        <f>'NPT Adapters'!I15</f>
        <v>44.43</v>
      </c>
      <c r="R266" s="98">
        <f>'NPT Adapters'!K15</f>
        <v>0</v>
      </c>
      <c r="S266" s="39">
        <f>'NPT Adapters'!D15</f>
        <v>2811221880</v>
      </c>
      <c r="T266" s="40" t="str">
        <f>'NPT Adapters'!E15</f>
        <v>25 / 1"</v>
      </c>
      <c r="U266" s="40" t="str">
        <f>'NPT Adapters'!F15</f>
        <v>1"</v>
      </c>
      <c r="V266" s="39">
        <v>1</v>
      </c>
    </row>
    <row r="267" spans="2:22" ht="14.5" hidden="1">
      <c r="B267" s="257"/>
      <c r="C267" s="115"/>
      <c r="D267" s="114"/>
      <c r="E267" s="115"/>
      <c r="F267" s="114"/>
      <c r="G267" s="116"/>
      <c r="H267" s="117"/>
      <c r="I267" s="113"/>
      <c r="L267" s="36">
        <v>262</v>
      </c>
      <c r="M267" s="39">
        <f t="shared" si="62"/>
        <v>0</v>
      </c>
      <c r="N267" s="40" t="s">
        <v>336</v>
      </c>
      <c r="O267" s="41"/>
      <c r="P267" s="39">
        <f>'NPT Adapters'!H16</f>
        <v>0</v>
      </c>
      <c r="Q267" s="98">
        <f>'NPT Adapters'!I16</f>
        <v>52.08</v>
      </c>
      <c r="R267" s="98">
        <f>'NPT Adapters'!K16</f>
        <v>0</v>
      </c>
      <c r="S267" s="39">
        <f>'NPT Adapters'!D16</f>
        <v>2811431880</v>
      </c>
      <c r="T267" s="40" t="str">
        <f>'NPT Adapters'!E16</f>
        <v>40 / 1½"</v>
      </c>
      <c r="U267" s="40" t="str">
        <f>'NPT Adapters'!F16</f>
        <v>1 1/4"</v>
      </c>
      <c r="V267" s="39">
        <v>1</v>
      </c>
    </row>
    <row r="268" spans="2:22" ht="14.5" hidden="1">
      <c r="B268" s="257"/>
      <c r="C268" s="115"/>
      <c r="D268" s="114"/>
      <c r="E268" s="115"/>
      <c r="F268" s="114"/>
      <c r="G268" s="116"/>
      <c r="H268" s="117"/>
      <c r="I268" s="113"/>
      <c r="L268" s="36">
        <v>263</v>
      </c>
      <c r="M268" s="39">
        <f t="shared" si="62"/>
        <v>0</v>
      </c>
      <c r="N268" s="40" t="s">
        <v>336</v>
      </c>
      <c r="O268" s="41"/>
      <c r="P268" s="39">
        <f>'NPT Adapters'!H17</f>
        <v>0</v>
      </c>
      <c r="Q268" s="98">
        <f>'NPT Adapters'!I17</f>
        <v>53.64</v>
      </c>
      <c r="R268" s="98">
        <f>'NPT Adapters'!K17</f>
        <v>0</v>
      </c>
      <c r="S268" s="39">
        <f>'NPT Adapters'!D17</f>
        <v>2811441880</v>
      </c>
      <c r="T268" s="40" t="str">
        <f>'NPT Adapters'!E17</f>
        <v>40 / 1½"</v>
      </c>
      <c r="U268" s="40" t="str">
        <f>'NPT Adapters'!F17</f>
        <v>1 1/2"</v>
      </c>
      <c r="V268" s="39">
        <v>1</v>
      </c>
    </row>
    <row r="269" spans="2:22" ht="14.5" hidden="1">
      <c r="B269" s="257" t="str">
        <f>IF(ISERROR(VLOOKUP(L281,$M$6:$V$612,7,0)),"",(VLOOKUP(L281,$M$6:$V866,7,0)))</f>
        <v/>
      </c>
      <c r="C269" s="115" t="str">
        <f>IF(ISERROR(VLOOKUP(L281,$M$6:$V$612,2,0)),"",(VLOOKUP(L281,$M$6:$V$612,2,0)))</f>
        <v/>
      </c>
      <c r="D269" s="114" t="str">
        <f>IF(ISERROR(VLOOKUP(L281,$M$6:$V$612,8,0)),"",(VLOOKUP(L281,$M$6:$V$612,8,0)))</f>
        <v/>
      </c>
      <c r="E269" s="115" t="str">
        <f>IF(ISERROR(VLOOKUP(L281,$M$6:$V$612,9,FALSE)),"",(VLOOKUP(L281,$M$6:$V$612,9,0)))</f>
        <v/>
      </c>
      <c r="F269" s="114" t="str">
        <f>IF(ISERROR(VLOOKUP(L281,$M$6:$V$612,10,0)),"",(VLOOKUP(L281,$M$6:$V$612,10,0)))</f>
        <v/>
      </c>
      <c r="G269" s="116" t="str">
        <f>IF(ISERROR(VLOOKUP(L281,$M$6:$V$612,5,0)),"",(VLOOKUP(L281,$M$6:$V$612,5,0)))</f>
        <v/>
      </c>
      <c r="H269" s="117" t="str">
        <f>IF(ISERROR(VLOOKUP(L281,$M$6:$V$612,4,0)),"",(VLOOKUP(L281,$M$6:$V$612,4,0)))</f>
        <v/>
      </c>
      <c r="I269" s="113" t="str">
        <f>IF(ISERROR(VLOOKUP(L281,$M$6:$V$612,6,0)),"",(VLOOKUP(L281,$M$6:$V$612,6,0)))</f>
        <v/>
      </c>
      <c r="L269" s="36">
        <v>264</v>
      </c>
      <c r="M269" s="39">
        <f t="shared" si="62"/>
        <v>0</v>
      </c>
      <c r="N269" s="40" t="s">
        <v>336</v>
      </c>
      <c r="O269" s="41"/>
      <c r="P269" s="39">
        <f>'NPT Adapters'!H18</f>
        <v>0</v>
      </c>
      <c r="Q269" s="98">
        <f>'NPT Adapters'!I18</f>
        <v>66.819999999999993</v>
      </c>
      <c r="R269" s="98">
        <f>'NPT Adapters'!K18</f>
        <v>0</v>
      </c>
      <c r="S269" s="39">
        <f>'NPT Adapters'!D18</f>
        <v>2811541880</v>
      </c>
      <c r="T269" s="40" t="str">
        <f>'NPT Adapters'!E18</f>
        <v>50 / 2"</v>
      </c>
      <c r="U269" s="40" t="str">
        <f>'NPT Adapters'!F18</f>
        <v>1 1/2"</v>
      </c>
      <c r="V269" s="39">
        <v>1</v>
      </c>
    </row>
    <row r="270" spans="2:22" ht="14.5" hidden="1">
      <c r="B270" s="257" t="str">
        <f>IF(ISERROR(VLOOKUP(L282,$M$6:$V$612,7,0)),"",(VLOOKUP(L282,$M$6:$V867,7,0)))</f>
        <v/>
      </c>
      <c r="C270" s="115" t="str">
        <f>IF(ISERROR(VLOOKUP(L282,$M$6:$V$612,2,0)),"",(VLOOKUP(L282,$M$6:$V$612,2,0)))</f>
        <v/>
      </c>
      <c r="D270" s="114" t="str">
        <f>IF(ISERROR(VLOOKUP(L282,$M$6:$V$612,8,0)),"",(VLOOKUP(L282,$M$6:$V$612,8,0)))</f>
        <v/>
      </c>
      <c r="E270" s="115" t="str">
        <f>IF(ISERROR(VLOOKUP(L282,$M$6:$V$612,9,FALSE)),"",(VLOOKUP(L282,$M$6:$V$612,9,0)))</f>
        <v/>
      </c>
      <c r="F270" s="114" t="str">
        <f>IF(ISERROR(VLOOKUP(L282,$M$6:$V$612,10,0)),"",(VLOOKUP(L282,$M$6:$V$612,10,0)))</f>
        <v/>
      </c>
      <c r="G270" s="116" t="str">
        <f>IF(ISERROR(VLOOKUP(L282,$M$6:$V$612,5,0)),"",(VLOOKUP(L282,$M$6:$V$612,5,0)))</f>
        <v/>
      </c>
      <c r="H270" s="117" t="str">
        <f>IF(ISERROR(VLOOKUP(L282,$M$6:$V$612,4,0)),"",(VLOOKUP(L282,$M$6:$V$612,4,0)))</f>
        <v/>
      </c>
      <c r="I270" s="113" t="str">
        <f>IF(ISERROR(VLOOKUP(L282,$M$6:$V$612,6,0)),"",(VLOOKUP(L282,$M$6:$V$612,6,0)))</f>
        <v/>
      </c>
      <c r="L270" s="36">
        <v>265</v>
      </c>
      <c r="M270" s="39">
        <f t="shared" si="62"/>
        <v>0</v>
      </c>
      <c r="N270" s="40" t="s">
        <v>336</v>
      </c>
      <c r="O270" s="41"/>
      <c r="P270" s="39">
        <f>'NPT Adapters'!H19</f>
        <v>0</v>
      </c>
      <c r="Q270" s="98">
        <f>'NPT Adapters'!I19</f>
        <v>68.599999999999994</v>
      </c>
      <c r="R270" s="98">
        <f>'NPT Adapters'!K19</f>
        <v>0</v>
      </c>
      <c r="S270" s="39">
        <f>'NPT Adapters'!D19</f>
        <v>2811551880</v>
      </c>
      <c r="T270" s="40" t="str">
        <f>'NPT Adapters'!E19</f>
        <v>50 / 2"</v>
      </c>
      <c r="U270" s="40" t="str">
        <f>'NPT Adapters'!F19</f>
        <v>2"</v>
      </c>
      <c r="V270" s="39">
        <v>1</v>
      </c>
    </row>
    <row r="271" spans="2:22" ht="14.5" hidden="1">
      <c r="B271" s="257" t="str">
        <f>IF(ISERROR(VLOOKUP(L283,$M$6:$V$612,7,0)),"",(VLOOKUP(L283,$M$6:$V868,7,0)))</f>
        <v/>
      </c>
      <c r="C271" s="115" t="str">
        <f>IF(ISERROR(VLOOKUP(L283,$M$6:$V$612,2,0)),"",(VLOOKUP(L283,$M$6:$V$612,2,0)))</f>
        <v/>
      </c>
      <c r="D271" s="114" t="str">
        <f>IF(ISERROR(VLOOKUP(L283,$M$6:$V$612,8,0)),"",(VLOOKUP(L283,$M$6:$V$612,8,0)))</f>
        <v/>
      </c>
      <c r="E271" s="115" t="str">
        <f>IF(ISERROR(VLOOKUP(L283,$M$6:$V$612,9,FALSE)),"",(VLOOKUP(L283,$M$6:$V$612,9,0)))</f>
        <v/>
      </c>
      <c r="F271" s="114" t="str">
        <f>IF(ISERROR(VLOOKUP(L283,$M$6:$V$612,10,0)),"",(VLOOKUP(L283,$M$6:$V$612,10,0)))</f>
        <v/>
      </c>
      <c r="G271" s="116" t="str">
        <f>IF(ISERROR(VLOOKUP(L283,$M$6:$V$612,5,0)),"",(VLOOKUP(L283,$M$6:$V$612,5,0)))</f>
        <v/>
      </c>
      <c r="H271" s="117" t="str">
        <f>IF(ISERROR(VLOOKUP(L283,$M$6:$V$612,4,0)),"",(VLOOKUP(L283,$M$6:$V$612,4,0)))</f>
        <v/>
      </c>
      <c r="I271" s="113" t="str">
        <f>IF(ISERROR(VLOOKUP(L283,$M$6:$V$612,6,0)),"",(VLOOKUP(L283,$M$6:$V$612,6,0)))</f>
        <v/>
      </c>
      <c r="L271" s="36">
        <v>266</v>
      </c>
      <c r="M271" s="39">
        <f t="shared" si="62"/>
        <v>0</v>
      </c>
      <c r="O271" s="41"/>
      <c r="Q271" s="12"/>
      <c r="R271" s="12"/>
      <c r="T271"/>
      <c r="U271">
        <f>'NPT Adapters'!F20</f>
        <v>0</v>
      </c>
    </row>
    <row r="272" spans="2:22" ht="14.5" hidden="1">
      <c r="B272" s="257" t="str">
        <f>IF(ISERROR(VLOOKUP(L284,$M$6:$V$612,7,0)),"",(VLOOKUP(L284,$M$6:$V869,7,0)))</f>
        <v/>
      </c>
      <c r="C272" s="115" t="str">
        <f>IF(ISERROR(VLOOKUP(L284,$M$6:$V$612,2,0)),"",(VLOOKUP(L284,$M$6:$V$612,2,0)))</f>
        <v/>
      </c>
      <c r="D272" s="114" t="str">
        <f>IF(ISERROR(VLOOKUP(L284,$M$6:$V$612,8,0)),"",(VLOOKUP(L284,$M$6:$V$612,8,0)))</f>
        <v/>
      </c>
      <c r="E272" s="115" t="str">
        <f>IF(ISERROR(VLOOKUP(L284,$M$6:$V$612,9,FALSE)),"",(VLOOKUP(L284,$M$6:$V$612,9,0)))</f>
        <v/>
      </c>
      <c r="F272" s="114" t="str">
        <f>IF(ISERROR(VLOOKUP(L284,$M$6:$V$612,10,0)),"",(VLOOKUP(L284,$M$6:$V$612,10,0)))</f>
        <v/>
      </c>
      <c r="G272" s="116" t="str">
        <f>IF(ISERROR(VLOOKUP(L284,$M$6:$V$612,5,0)),"",(VLOOKUP(L284,$M$6:$V$612,5,0)))</f>
        <v/>
      </c>
      <c r="H272" s="117" t="str">
        <f>IF(ISERROR(VLOOKUP(L284,$M$6:$V$612,4,0)),"",(VLOOKUP(L284,$M$6:$V$612,4,0)))</f>
        <v/>
      </c>
      <c r="I272" s="113" t="str">
        <f>IF(ISERROR(VLOOKUP(L284,$M$6:$V$612,6,0)),"",(VLOOKUP(L284,$M$6:$V$612,6,0)))</f>
        <v/>
      </c>
      <c r="L272" s="36">
        <v>267</v>
      </c>
      <c r="M272" s="39">
        <f t="shared" si="62"/>
        <v>0</v>
      </c>
      <c r="O272" s="41"/>
      <c r="P272" s="2">
        <f>'NPT Adapters'!H21</f>
        <v>0</v>
      </c>
      <c r="Q272" s="12"/>
      <c r="R272" s="12"/>
      <c r="S272" s="2">
        <f>'NPT Adapters'!D21</f>
        <v>0</v>
      </c>
      <c r="T272" t="str">
        <f>'NPT Adapters'!E21</f>
        <v>AIRnet Φ</v>
      </c>
      <c r="U272" t="str">
        <f>'NPT Adapters'!F21</f>
        <v>Threaded Outlet Φ</v>
      </c>
    </row>
    <row r="273" spans="2:22" ht="14.5" hidden="1">
      <c r="B273" s="257"/>
      <c r="C273" s="115"/>
      <c r="D273" s="114"/>
      <c r="E273" s="115"/>
      <c r="F273" s="114"/>
      <c r="G273" s="116"/>
      <c r="H273" s="117"/>
      <c r="I273" s="113"/>
      <c r="L273" s="36">
        <v>268</v>
      </c>
      <c r="M273" s="39">
        <f t="shared" si="62"/>
        <v>0</v>
      </c>
      <c r="N273" s="40" t="s">
        <v>336</v>
      </c>
      <c r="O273" s="41"/>
      <c r="P273" s="39">
        <f>'NPT Adapters'!H22</f>
        <v>0</v>
      </c>
      <c r="Q273" s="167">
        <f>'NPT Adapters'!I22</f>
        <v>134.54</v>
      </c>
      <c r="R273" s="98">
        <f>'NPT Adapters'!K22</f>
        <v>0</v>
      </c>
      <c r="S273" s="39">
        <f>'NPT Adapters'!D22</f>
        <v>2811651890</v>
      </c>
      <c r="T273" s="40" t="str">
        <f>'NPT Adapters'!E22</f>
        <v>63 / 2 1/2"</v>
      </c>
      <c r="U273" s="40" t="str">
        <f>'NPT Adapters'!F22</f>
        <v>2"</v>
      </c>
      <c r="V273" s="39">
        <v>1</v>
      </c>
    </row>
    <row r="274" spans="2:22" ht="14.5" hidden="1">
      <c r="B274" s="257"/>
      <c r="C274" s="115"/>
      <c r="D274" s="114"/>
      <c r="E274" s="115"/>
      <c r="F274" s="114"/>
      <c r="G274" s="116"/>
      <c r="H274" s="117"/>
      <c r="I274" s="113"/>
      <c r="L274" s="36">
        <v>269</v>
      </c>
      <c r="M274" s="39">
        <f t="shared" si="62"/>
        <v>0</v>
      </c>
      <c r="N274" s="40" t="s">
        <v>336</v>
      </c>
      <c r="O274" s="41"/>
      <c r="P274" s="39">
        <f>'NPT Adapters'!H23</f>
        <v>0</v>
      </c>
      <c r="Q274" s="167">
        <f>'NPT Adapters'!I23</f>
        <v>118.33</v>
      </c>
      <c r="R274" s="98">
        <f>'NPT Adapters'!K23</f>
        <v>0</v>
      </c>
      <c r="S274" s="39">
        <f>'NPT Adapters'!D23</f>
        <v>2811661890</v>
      </c>
      <c r="T274" s="40" t="str">
        <f>'NPT Adapters'!E23</f>
        <v>63 2 1/2"</v>
      </c>
      <c r="U274" s="40" t="str">
        <f>'NPT Adapters'!F23</f>
        <v>2½"</v>
      </c>
      <c r="V274" s="39">
        <v>1</v>
      </c>
    </row>
    <row r="275" spans="2:22" ht="14.5" hidden="1">
      <c r="B275" s="257"/>
      <c r="C275" s="115"/>
      <c r="D275" s="114"/>
      <c r="E275" s="115"/>
      <c r="F275" s="114"/>
      <c r="G275" s="116"/>
      <c r="H275" s="117"/>
      <c r="I275" s="113"/>
      <c r="L275" s="36">
        <v>270</v>
      </c>
      <c r="M275" s="39">
        <f t="shared" si="62"/>
        <v>0</v>
      </c>
      <c r="N275" s="40" t="s">
        <v>336</v>
      </c>
      <c r="O275" s="41"/>
      <c r="P275" s="39">
        <f>'NPT Adapters'!H24</f>
        <v>0</v>
      </c>
      <c r="Q275" s="167">
        <f>'NPT Adapters'!I24</f>
        <v>173.95</v>
      </c>
      <c r="R275" s="98">
        <f>'NPT Adapters'!K24</f>
        <v>0</v>
      </c>
      <c r="S275" s="39">
        <f>'NPT Adapters'!D24</f>
        <v>2811761890</v>
      </c>
      <c r="T275" s="40" t="str">
        <f>'NPT Adapters'!E24</f>
        <v>80 / 3"</v>
      </c>
      <c r="U275" s="40" t="str">
        <f>'NPT Adapters'!F24</f>
        <v>2½"</v>
      </c>
      <c r="V275" s="39">
        <v>1</v>
      </c>
    </row>
    <row r="276" spans="2:22" ht="14.5" hidden="1">
      <c r="B276" s="257"/>
      <c r="C276" s="115"/>
      <c r="D276" s="114"/>
      <c r="E276" s="115"/>
      <c r="F276" s="114"/>
      <c r="G276" s="116"/>
      <c r="H276" s="117"/>
      <c r="I276" s="113"/>
      <c r="L276" s="36">
        <v>271</v>
      </c>
      <c r="M276" s="39">
        <f t="shared" si="62"/>
        <v>0</v>
      </c>
      <c r="N276" s="40" t="s">
        <v>336</v>
      </c>
      <c r="O276" s="41"/>
      <c r="P276" s="39">
        <f>'NPT Adapters'!H25</f>
        <v>0</v>
      </c>
      <c r="Q276" s="167">
        <f>'NPT Adapters'!I25</f>
        <v>170.2</v>
      </c>
      <c r="R276" s="98">
        <f>'NPT Adapters'!K25</f>
        <v>0</v>
      </c>
      <c r="S276" s="39">
        <f>'NPT Adapters'!D25</f>
        <v>2811771890</v>
      </c>
      <c r="T276" s="40" t="str">
        <f>'NPT Adapters'!E25</f>
        <v>80 / 3"</v>
      </c>
      <c r="U276" s="40" t="str">
        <f>'NPT Adapters'!F25</f>
        <v>3"</v>
      </c>
      <c r="V276" s="39">
        <v>1</v>
      </c>
    </row>
    <row r="277" spans="2:22" ht="14.5" hidden="1">
      <c r="B277" s="257"/>
      <c r="C277" s="115"/>
      <c r="D277" s="114"/>
      <c r="E277" s="115"/>
      <c r="F277" s="114"/>
      <c r="G277" s="116"/>
      <c r="H277" s="117"/>
      <c r="I277" s="113"/>
      <c r="L277" s="36">
        <v>272</v>
      </c>
      <c r="M277" s="39">
        <f t="shared" si="62"/>
        <v>0</v>
      </c>
      <c r="N277" s="18"/>
      <c r="O277" s="41"/>
      <c r="P277" s="87">
        <f>'NPT Adapters'!H29</f>
        <v>0</v>
      </c>
      <c r="Q277" s="100">
        <f>'NPT Adapters'!I29</f>
        <v>0</v>
      </c>
      <c r="R277" s="100">
        <f>'NPT Adapters'!K29</f>
        <v>0</v>
      </c>
      <c r="S277" s="87">
        <f>'NPT Adapters'!D29</f>
        <v>0</v>
      </c>
      <c r="T277" s="18" t="str">
        <f>'NPT Adapters'!E29</f>
        <v>AIRnet Φ</v>
      </c>
      <c r="U277" s="18" t="str">
        <f>'NPT Adapters'!F29</f>
        <v>Threaded Outlet Φ</v>
      </c>
      <c r="V277" s="87"/>
    </row>
    <row r="278" spans="2:22" ht="14.5" hidden="1">
      <c r="B278" s="257"/>
      <c r="C278" s="115"/>
      <c r="D278" s="114"/>
      <c r="E278" s="115"/>
      <c r="F278" s="114"/>
      <c r="G278" s="116"/>
      <c r="H278" s="117"/>
      <c r="I278" s="113"/>
      <c r="L278" s="36">
        <v>273</v>
      </c>
      <c r="M278" s="39">
        <f t="shared" si="62"/>
        <v>0</v>
      </c>
      <c r="N278" s="40" t="s">
        <v>337</v>
      </c>
      <c r="O278" s="41"/>
      <c r="P278" s="39">
        <f>'NPT Adapters'!H30</f>
        <v>0</v>
      </c>
      <c r="Q278" s="167" t="e">
        <f>'NPT Adapters'!I30</f>
        <v>#REF!</v>
      </c>
      <c r="R278" s="98" t="e">
        <f>'NPT Adapters'!K30</f>
        <v>#REF!</v>
      </c>
      <c r="S278" s="39">
        <f>'NPT Adapters'!D30</f>
        <v>2811662090</v>
      </c>
      <c r="T278" s="40" t="str">
        <f>'NPT Adapters'!E30</f>
        <v>63 / 2½"</v>
      </c>
      <c r="U278" s="40" t="str">
        <f>'NPT Adapters'!F30</f>
        <v>2 1/2"</v>
      </c>
      <c r="V278" s="39">
        <v>1</v>
      </c>
    </row>
    <row r="279" spans="2:22" ht="14.5" hidden="1">
      <c r="B279" s="257"/>
      <c r="C279" s="115"/>
      <c r="D279" s="114"/>
      <c r="E279" s="115"/>
      <c r="F279" s="114"/>
      <c r="G279" s="116"/>
      <c r="H279" s="117"/>
      <c r="I279" s="113"/>
      <c r="L279" s="36">
        <v>274</v>
      </c>
      <c r="M279" s="39">
        <f t="shared" ref="M279:M349" si="63">IF(P279&gt;0,M278+1,M278)</f>
        <v>0</v>
      </c>
      <c r="N279" s="18"/>
      <c r="O279" s="41"/>
      <c r="P279" s="87">
        <f>'NPT Adapters'!H36</f>
        <v>0</v>
      </c>
      <c r="Q279" s="100">
        <f>'NPT Adapters'!I36</f>
        <v>0</v>
      </c>
      <c r="R279" s="100">
        <f>'NPT Adapters'!K36</f>
        <v>0</v>
      </c>
      <c r="S279" s="87">
        <f>'NPT Adapters'!D36</f>
        <v>0</v>
      </c>
      <c r="T279" s="18" t="str">
        <f>'NPT Adapters'!E36</f>
        <v>AIRnet Φ</v>
      </c>
      <c r="U279" s="18" t="str">
        <f>'NPT Adapters'!F36</f>
        <v>Threaded Outlet Φ</v>
      </c>
      <c r="V279" s="87"/>
    </row>
    <row r="280" spans="2:22" ht="14.5" hidden="1">
      <c r="B280" s="257"/>
      <c r="C280" s="115"/>
      <c r="D280" s="114"/>
      <c r="E280" s="115"/>
      <c r="F280" s="114"/>
      <c r="G280" s="116"/>
      <c r="H280" s="117"/>
      <c r="I280" s="113"/>
      <c r="L280" s="36">
        <v>275</v>
      </c>
      <c r="M280" s="39">
        <f t="shared" si="63"/>
        <v>0</v>
      </c>
      <c r="N280" s="40" t="s">
        <v>64</v>
      </c>
      <c r="O280" s="41"/>
      <c r="P280" s="39">
        <f>'NPT Adapters'!H37</f>
        <v>0</v>
      </c>
      <c r="Q280" s="98">
        <f>'NPT Adapters'!I37</f>
        <v>65.48</v>
      </c>
      <c r="R280" s="98">
        <f>'NPT Adapters'!K37</f>
        <v>0</v>
      </c>
      <c r="S280" s="39">
        <f>'NPT Adapters'!D37</f>
        <v>2811111480</v>
      </c>
      <c r="T280" s="40" t="str">
        <f>'NPT Adapters'!E37</f>
        <v>20 / ¾"</v>
      </c>
      <c r="U280" s="40" t="str">
        <f>'NPT Adapters'!F37</f>
        <v>3/4"</v>
      </c>
      <c r="V280" s="39">
        <v>1</v>
      </c>
    </row>
    <row r="281" spans="2:22" ht="14.5" hidden="1">
      <c r="B281" s="257"/>
      <c r="C281" s="115"/>
      <c r="D281" s="114"/>
      <c r="E281" s="115"/>
      <c r="F281" s="114"/>
      <c r="G281" s="116"/>
      <c r="H281" s="117"/>
      <c r="I281" s="113"/>
      <c r="L281" s="36">
        <v>276</v>
      </c>
      <c r="M281" s="39">
        <f t="shared" si="63"/>
        <v>0</v>
      </c>
      <c r="N281" s="40" t="s">
        <v>64</v>
      </c>
      <c r="O281" s="41"/>
      <c r="P281" s="39">
        <f>'NPT Adapters'!H38</f>
        <v>0</v>
      </c>
      <c r="Q281" s="98">
        <f>'NPT Adapters'!I38</f>
        <v>71.27</v>
      </c>
      <c r="R281" s="98">
        <f>'NPT Adapters'!K38</f>
        <v>0</v>
      </c>
      <c r="S281" s="39">
        <f>'NPT Adapters'!D38</f>
        <v>2811221480</v>
      </c>
      <c r="T281" s="40" t="str">
        <f>'NPT Adapters'!E38</f>
        <v>25 / 1"</v>
      </c>
      <c r="U281" s="40" t="str">
        <f>'NPT Adapters'!F38</f>
        <v>1"</v>
      </c>
      <c r="V281" s="39">
        <v>1</v>
      </c>
    </row>
    <row r="282" spans="2:22" ht="14.5" hidden="1">
      <c r="B282" s="258" t="str">
        <f>IF(ISERROR(VLOOKUP(L273,$M$6:$V$423,7,0)),"",(VLOOKUP(L273,$M$6:$V$423,7,0)))</f>
        <v/>
      </c>
      <c r="C282" s="55" t="str">
        <f>IF(ISERROR(VLOOKUP(L273,$M$6:$V$423,2,0)),"",(VLOOKUP(L273,$M$6:$V$423,2,0)))</f>
        <v/>
      </c>
      <c r="D282" s="53" t="str">
        <f>IF(ISERROR(VLOOKUP(L273,$M$6:$V$423,8,0)),"",(VLOOKUP(L273,$M$6:$V$423,8,0)))</f>
        <v/>
      </c>
      <c r="L282" s="36">
        <v>277</v>
      </c>
      <c r="M282" s="39">
        <f t="shared" si="63"/>
        <v>0</v>
      </c>
      <c r="N282" s="40" t="s">
        <v>64</v>
      </c>
      <c r="O282" s="41"/>
      <c r="P282" s="39">
        <f>'NPT Adapters'!H39</f>
        <v>0</v>
      </c>
      <c r="Q282" s="98">
        <f>'NPT Adapters'!I39</f>
        <v>75.73</v>
      </c>
      <c r="R282" s="98">
        <f>'NPT Adapters'!K39</f>
        <v>0</v>
      </c>
      <c r="S282" s="39">
        <f>'NPT Adapters'!D39</f>
        <v>2811441480</v>
      </c>
      <c r="T282" s="40" t="str">
        <f>'NPT Adapters'!E39</f>
        <v>40 / 1½"</v>
      </c>
      <c r="U282" s="40" t="str">
        <f>'NPT Adapters'!F39</f>
        <v>1 1/2"</v>
      </c>
      <c r="V282" s="39">
        <v>1</v>
      </c>
    </row>
    <row r="283" spans="2:22" ht="14.5" hidden="1">
      <c r="B283" s="258" t="str">
        <f>IF(ISERROR(VLOOKUP(L274,$M$6:$V$423,7,0)),"",(VLOOKUP(L274,$M$6:$V$423,7,0)))</f>
        <v/>
      </c>
      <c r="C283" s="55" t="str">
        <f>IF(ISERROR(VLOOKUP(L274,$M$6:$V$423,2,0)),"",(VLOOKUP(L274,$M$6:$V$423,2,0)))</f>
        <v/>
      </c>
      <c r="D283" s="53" t="str">
        <f>IF(ISERROR(VLOOKUP(L274,$M$6:$V$423,8,0)),"",(VLOOKUP(L274,$M$6:$V$423,8,0)))</f>
        <v/>
      </c>
      <c r="L283" s="36">
        <v>278</v>
      </c>
      <c r="M283" s="39">
        <f t="shared" si="63"/>
        <v>0</v>
      </c>
      <c r="N283" s="40" t="s">
        <v>64</v>
      </c>
      <c r="O283" s="41"/>
      <c r="P283" s="39">
        <f>'NPT Adapters'!H40</f>
        <v>0</v>
      </c>
      <c r="Q283" s="98">
        <f>'NPT Adapters'!I40</f>
        <v>79.63</v>
      </c>
      <c r="R283" s="98">
        <f>'NPT Adapters'!K40</f>
        <v>0</v>
      </c>
      <c r="S283" s="39">
        <f>'NPT Adapters'!D40</f>
        <v>2811551480</v>
      </c>
      <c r="T283" s="40" t="str">
        <f>'NPT Adapters'!E40</f>
        <v>50 / 2"</v>
      </c>
      <c r="U283" s="40" t="str">
        <f>'NPT Adapters'!F40</f>
        <v>2"</v>
      </c>
      <c r="V283" s="39">
        <v>1</v>
      </c>
    </row>
    <row r="284" spans="2:22" ht="14.5" hidden="1">
      <c r="B284" s="258" t="str">
        <f>IF(ISERROR(VLOOKUP(L275,$M$6:$V$423,7,0)),"",(VLOOKUP(L275,$M$6:$V$423,7,0)))</f>
        <v/>
      </c>
      <c r="C284" s="55" t="str">
        <f>IF(ISERROR(VLOOKUP(L275,$M$6:$V$423,2,0)),"",(VLOOKUP(L275,$M$6:$V$423,2,0)))</f>
        <v/>
      </c>
      <c r="D284" s="53" t="str">
        <f>IF(ISERROR(VLOOKUP(L275,$M$6:$V$423,8,0)),"",(VLOOKUP(L275,$M$6:$V$423,8,0)))</f>
        <v/>
      </c>
      <c r="L284" s="36">
        <v>279</v>
      </c>
      <c r="M284" s="39">
        <f t="shared" si="63"/>
        <v>0</v>
      </c>
      <c r="N284" s="18"/>
      <c r="O284" s="41"/>
      <c r="P284" s="87">
        <f>'NPT Adapters'!H41</f>
        <v>0</v>
      </c>
      <c r="Q284" s="100"/>
      <c r="R284" s="100"/>
      <c r="S284" s="87"/>
      <c r="T284" s="18"/>
      <c r="U284" s="18"/>
      <c r="V284" s="87"/>
    </row>
    <row r="285" spans="2:22" ht="14.5" hidden="1">
      <c r="B285" s="258" t="str">
        <f>IF(ISERROR(VLOOKUP(L276,$M$6:$V$423,7,0)),"",(VLOOKUP(L276,$M$6:$V$423,7,0)))</f>
        <v/>
      </c>
      <c r="C285" s="55" t="str">
        <f>IF(ISERROR(VLOOKUP(L276,$M$6:$V$423,2,0)),"",(VLOOKUP(L276,$M$6:$V$423,2,0)))</f>
        <v/>
      </c>
      <c r="D285" s="53" t="str">
        <f>IF(ISERROR(VLOOKUP(L276,$M$6:$V$423,8,0)),"",(VLOOKUP(L276,$M$6:$V$423,8,0)))</f>
        <v/>
      </c>
      <c r="L285" s="36">
        <v>280</v>
      </c>
      <c r="M285" s="39">
        <f t="shared" si="63"/>
        <v>0</v>
      </c>
      <c r="N285" s="40" t="s">
        <v>64</v>
      </c>
      <c r="O285" s="41"/>
      <c r="P285" s="39">
        <f>'NPT Adapters'!H45</f>
        <v>0</v>
      </c>
      <c r="Q285" s="167">
        <f>'NPT Adapters'!I45</f>
        <v>104.29</v>
      </c>
      <c r="R285" s="98">
        <f>'NPT Adapters'!K45</f>
        <v>0</v>
      </c>
      <c r="S285" s="39">
        <f>'NPT Adapters'!D45</f>
        <v>2811661490</v>
      </c>
      <c r="T285" s="40" t="str">
        <f>'NPT Adapters'!E45</f>
        <v>63 / 2½"</v>
      </c>
      <c r="U285" s="40" t="str">
        <f>'NPT Adapters'!F45</f>
        <v>2 1/2"</v>
      </c>
      <c r="V285" s="39">
        <v>1</v>
      </c>
    </row>
    <row r="286" spans="2:22" ht="14.5" hidden="1">
      <c r="B286" s="258" t="str">
        <f>IF(ISERROR(VLOOKUP(L277,$M$6:$V$423,7,0)),"",(VLOOKUP(L277,$M$6:$V$423,7,0)))</f>
        <v/>
      </c>
      <c r="C286" s="55" t="str">
        <f>IF(ISERROR(VLOOKUP(L277,$M$6:$V$423,2,0)),"",(VLOOKUP(L277,$M$6:$V$423,2,0)))</f>
        <v/>
      </c>
      <c r="D286" s="53" t="str">
        <f>IF(ISERROR(VLOOKUP(L277,$M$6:$V$423,8,0)),"",(VLOOKUP(L277,$M$6:$V$423,8,0)))</f>
        <v/>
      </c>
      <c r="L286" s="36">
        <v>281</v>
      </c>
      <c r="M286" s="39">
        <f t="shared" si="63"/>
        <v>0</v>
      </c>
      <c r="N286" s="40" t="s">
        <v>64</v>
      </c>
      <c r="O286" s="41"/>
      <c r="P286" s="39">
        <f>'NPT Adapters'!H46</f>
        <v>0</v>
      </c>
      <c r="Q286" s="167">
        <f>'NPT Adapters'!I46</f>
        <v>132.4</v>
      </c>
      <c r="R286" s="98">
        <f>'NPT Adapters'!K46</f>
        <v>0</v>
      </c>
      <c r="S286" s="39">
        <f>'NPT Adapters'!D46</f>
        <v>2811771490</v>
      </c>
      <c r="T286" s="40" t="str">
        <f>'NPT Adapters'!E46</f>
        <v>80 / 3"</v>
      </c>
      <c r="U286" s="40" t="str">
        <f>'NPT Adapters'!F46</f>
        <v>3"</v>
      </c>
      <c r="V286" s="39">
        <v>1</v>
      </c>
    </row>
    <row r="287" spans="2:22" ht="14.5" hidden="1">
      <c r="B287" s="258" t="str">
        <f t="shared" ref="B287:B292" si="64">IF(ISERROR(VLOOKUP(L281,$M$6:$V$423,7,0)),"",(VLOOKUP(L281,$M$6:$V$423,7,0)))</f>
        <v/>
      </c>
      <c r="C287" s="55" t="str">
        <f t="shared" ref="C287:C292" si="65">IF(ISERROR(VLOOKUP(L281,$M$6:$V$423,2,0)),"",(VLOOKUP(L281,$M$6:$V$423,2,0)))</f>
        <v/>
      </c>
      <c r="D287" s="53" t="str">
        <f t="shared" ref="D287:D292" si="66">IF(ISERROR(VLOOKUP(L281,$M$6:$V$423,8,0)),"",(VLOOKUP(L281,$M$6:$V$423,8,0)))</f>
        <v/>
      </c>
      <c r="L287" s="36">
        <v>282</v>
      </c>
      <c r="M287" s="39">
        <f t="shared" si="63"/>
        <v>0</v>
      </c>
      <c r="N287" s="18"/>
      <c r="O287" s="41"/>
      <c r="P287" s="87">
        <f>'NPT Adapters'!H50</f>
        <v>0</v>
      </c>
      <c r="Q287" s="100"/>
      <c r="R287" s="100"/>
      <c r="S287" s="87">
        <f>'NPT Adapters'!D50</f>
        <v>0</v>
      </c>
      <c r="T287" s="18" t="str">
        <f>'NPT Adapters'!E50</f>
        <v>AIRnet Φ</v>
      </c>
      <c r="U287" s="18" t="str">
        <f>'NPT Adapters'!F50</f>
        <v>Threaded Outlet Φ</v>
      </c>
      <c r="V287" s="87"/>
    </row>
    <row r="288" spans="2:22" ht="14.5" hidden="1">
      <c r="B288" s="258" t="str">
        <f t="shared" si="64"/>
        <v/>
      </c>
      <c r="C288" s="55" t="str">
        <f t="shared" si="65"/>
        <v/>
      </c>
      <c r="D288" s="53" t="str">
        <f t="shared" si="66"/>
        <v/>
      </c>
      <c r="L288" s="36">
        <v>283</v>
      </c>
      <c r="M288" s="39">
        <f t="shared" si="63"/>
        <v>0</v>
      </c>
      <c r="N288" s="40" t="s">
        <v>64</v>
      </c>
      <c r="O288" s="41"/>
      <c r="P288" s="39">
        <f>'NPT Adapters'!H51</f>
        <v>0</v>
      </c>
      <c r="Q288" s="98">
        <f>'NPT Adapters'!I51</f>
        <v>38.79</v>
      </c>
      <c r="R288" s="98">
        <f>'NPT Adapters'!K51</f>
        <v>0</v>
      </c>
      <c r="S288" s="39">
        <f>'NPT Adapters'!D51</f>
        <v>2811002080</v>
      </c>
      <c r="T288" s="40" t="str">
        <f>'NPT Adapters'!E51</f>
        <v>20 / ¾"</v>
      </c>
      <c r="U288" s="40" t="str">
        <f>'NPT Adapters'!F51</f>
        <v>3/8"</v>
      </c>
      <c r="V288" s="39">
        <v>1</v>
      </c>
    </row>
    <row r="289" spans="2:22" ht="14.5" hidden="1">
      <c r="B289" s="258" t="str">
        <f t="shared" si="64"/>
        <v/>
      </c>
      <c r="C289" s="55" t="str">
        <f t="shared" si="65"/>
        <v/>
      </c>
      <c r="D289" s="53" t="str">
        <f t="shared" si="66"/>
        <v/>
      </c>
      <c r="L289" s="36">
        <v>284</v>
      </c>
      <c r="M289" s="39">
        <f t="shared" si="63"/>
        <v>0</v>
      </c>
      <c r="N289" s="40" t="s">
        <v>64</v>
      </c>
      <c r="O289" s="41"/>
      <c r="P289" s="39">
        <f>'NPT Adapters'!H52</f>
        <v>0</v>
      </c>
      <c r="Q289" s="98">
        <f>'NPT Adapters'!I52</f>
        <v>38.520000000000003</v>
      </c>
      <c r="R289" s="98">
        <f>'NPT Adapters'!K52</f>
        <v>0</v>
      </c>
      <c r="S289" s="39">
        <f>'NPT Adapters'!D52</f>
        <v>2811102080</v>
      </c>
      <c r="T289" s="40" t="str">
        <f>'NPT Adapters'!E52</f>
        <v>20 / ¾"</v>
      </c>
      <c r="U289" s="40" t="str">
        <f>'NPT Adapters'!F52</f>
        <v>1/2"</v>
      </c>
      <c r="V289" s="39">
        <v>1</v>
      </c>
    </row>
    <row r="290" spans="2:22" ht="14.5" hidden="1">
      <c r="B290" s="258" t="str">
        <f t="shared" si="64"/>
        <v/>
      </c>
      <c r="C290" s="55" t="str">
        <f t="shared" si="65"/>
        <v/>
      </c>
      <c r="D290" s="53" t="str">
        <f t="shared" si="66"/>
        <v/>
      </c>
      <c r="L290" s="36">
        <v>285</v>
      </c>
      <c r="M290" s="39">
        <f t="shared" si="63"/>
        <v>0</v>
      </c>
      <c r="N290" s="40" t="s">
        <v>64</v>
      </c>
      <c r="O290" s="41"/>
      <c r="P290" s="39">
        <f>'NPT Adapters'!H53</f>
        <v>0</v>
      </c>
      <c r="Q290" s="98">
        <f>'NPT Adapters'!I53</f>
        <v>44.75</v>
      </c>
      <c r="R290" s="98">
        <f>'NPT Adapters'!K53</f>
        <v>0</v>
      </c>
      <c r="S290" s="39">
        <f>'NPT Adapters'!D53</f>
        <v>2811202080</v>
      </c>
      <c r="T290" s="40" t="str">
        <f>'NPT Adapters'!E53</f>
        <v>25 / 1"</v>
      </c>
      <c r="U290" s="40" t="str">
        <f>'NPT Adapters'!F53</f>
        <v>1/2"</v>
      </c>
      <c r="V290" s="39">
        <v>1</v>
      </c>
    </row>
    <row r="291" spans="2:22" ht="14.5" hidden="1">
      <c r="B291" s="258" t="str">
        <f t="shared" si="64"/>
        <v/>
      </c>
      <c r="C291" s="55" t="str">
        <f t="shared" si="65"/>
        <v/>
      </c>
      <c r="D291" s="53" t="str">
        <f t="shared" si="66"/>
        <v/>
      </c>
      <c r="L291" s="36">
        <v>286</v>
      </c>
      <c r="M291" s="39">
        <f t="shared" si="63"/>
        <v>0</v>
      </c>
      <c r="N291" s="40" t="s">
        <v>64</v>
      </c>
      <c r="O291" s="41"/>
      <c r="P291" s="39">
        <f>'NPT Adapters'!H54</f>
        <v>0</v>
      </c>
      <c r="Q291" s="98">
        <f>'NPT Adapters'!I54</f>
        <v>41.75</v>
      </c>
      <c r="R291" s="98">
        <f>'NPT Adapters'!K54</f>
        <v>0</v>
      </c>
      <c r="S291" s="39">
        <f>'NPT Adapters'!D54</f>
        <v>2811212080</v>
      </c>
      <c r="T291" s="40" t="str">
        <f>'NPT Adapters'!E54</f>
        <v>25 / 1"</v>
      </c>
      <c r="U291" s="40" t="str">
        <f>'NPT Adapters'!F54</f>
        <v>3/4"</v>
      </c>
      <c r="V291" s="39">
        <v>1</v>
      </c>
    </row>
    <row r="292" spans="2:22" ht="14.5" hidden="1">
      <c r="B292" s="258" t="str">
        <f t="shared" si="64"/>
        <v/>
      </c>
      <c r="C292" s="55" t="str">
        <f t="shared" si="65"/>
        <v/>
      </c>
      <c r="D292" s="53" t="str">
        <f t="shared" si="66"/>
        <v/>
      </c>
      <c r="L292" s="36">
        <v>287</v>
      </c>
      <c r="M292" s="39">
        <f t="shared" si="63"/>
        <v>0</v>
      </c>
      <c r="N292" s="40" t="s">
        <v>64</v>
      </c>
      <c r="O292" s="41"/>
      <c r="P292" s="39">
        <f>'NPT Adapters'!H55</f>
        <v>0</v>
      </c>
      <c r="Q292" s="98">
        <f>'NPT Adapters'!I55</f>
        <v>66.69</v>
      </c>
      <c r="R292" s="98">
        <f>'NPT Adapters'!K55</f>
        <v>0</v>
      </c>
      <c r="S292" s="39">
        <f>'NPT Adapters'!D55</f>
        <v>2811422080</v>
      </c>
      <c r="T292" s="40" t="str">
        <f>'NPT Adapters'!E55</f>
        <v>40 / 1½"</v>
      </c>
      <c r="U292" s="40" t="str">
        <f>'NPT Adapters'!F55</f>
        <v>1"</v>
      </c>
      <c r="V292" s="39">
        <v>1</v>
      </c>
    </row>
    <row r="293" spans="2:22" ht="14.5" hidden="1">
      <c r="B293" s="258" t="str">
        <f>IF(ISERROR(VLOOKUP(L291,$M$6:$V$423,7,0)),"",(VLOOKUP(L291,$M$6:$V$423,7,0)))</f>
        <v/>
      </c>
      <c r="C293" s="55" t="str">
        <f>IF(ISERROR(VLOOKUP(L291,$M$6:$V$423,2,0)),"",(VLOOKUP(L291,$M$6:$V$423,2,0)))</f>
        <v/>
      </c>
      <c r="D293" s="53" t="str">
        <f>IF(ISERROR(VLOOKUP(L291,$M$6:$V$423,8,0)),"",(VLOOKUP(L291,$M$6:$V$423,8,0)))</f>
        <v/>
      </c>
      <c r="L293" s="36">
        <v>288</v>
      </c>
      <c r="M293" s="39">
        <f t="shared" si="63"/>
        <v>0</v>
      </c>
      <c r="N293" s="40" t="s">
        <v>64</v>
      </c>
      <c r="O293" s="41"/>
      <c r="P293" s="39">
        <f>'NPT Adapters'!H56</f>
        <v>0</v>
      </c>
      <c r="Q293" s="98">
        <f>'NPT Adapters'!I56</f>
        <v>86.86</v>
      </c>
      <c r="R293" s="98">
        <f>'NPT Adapters'!K56</f>
        <v>0</v>
      </c>
      <c r="S293" s="39">
        <f>'NPT Adapters'!D56</f>
        <v>2811542080</v>
      </c>
      <c r="T293" s="40" t="str">
        <f>'NPT Adapters'!E56</f>
        <v>50 / 2"</v>
      </c>
      <c r="U293" s="40" t="str">
        <f>'NPT Adapters'!F56</f>
        <v>1 1/2"</v>
      </c>
      <c r="V293" s="39">
        <v>1</v>
      </c>
    </row>
    <row r="294" spans="2:22" ht="14.5" hidden="1">
      <c r="B294" s="258" t="str">
        <f>IF(ISERROR(VLOOKUP(L292,$M$6:$V$423,7,0)),"",(VLOOKUP(L292,$M$6:$V$423,7,0)))</f>
        <v/>
      </c>
      <c r="C294" s="55" t="str">
        <f>IF(ISERROR(VLOOKUP(L292,$M$6:$V$423,2,0)),"",(VLOOKUP(L292,$M$6:$V$423,2,0)))</f>
        <v/>
      </c>
      <c r="D294" s="53" t="str">
        <f>IF(ISERROR(VLOOKUP(L292,$M$6:$V$423,8,0)),"",(VLOOKUP(L292,$M$6:$V$423,8,0)))</f>
        <v/>
      </c>
      <c r="L294" s="36">
        <v>289</v>
      </c>
      <c r="M294" s="39">
        <f t="shared" si="63"/>
        <v>0</v>
      </c>
      <c r="N294" s="40" t="s">
        <v>64</v>
      </c>
      <c r="O294" s="41"/>
      <c r="P294" s="39">
        <f>'NPT Adapters'!H57</f>
        <v>0</v>
      </c>
      <c r="Q294" s="98">
        <f>'NPT Adapters'!I57</f>
        <v>44.08</v>
      </c>
      <c r="R294" s="98">
        <f>'NPT Adapters'!K57</f>
        <v>0</v>
      </c>
      <c r="S294" s="39">
        <f>'NPT Adapters'!D57</f>
        <v>2811552080</v>
      </c>
      <c r="T294" s="40" t="str">
        <f>'NPT Adapters'!E57</f>
        <v>50 / 2"</v>
      </c>
      <c r="U294" s="40" t="str">
        <f>'NPT Adapters'!F57</f>
        <v>2"</v>
      </c>
      <c r="V294" s="39">
        <v>1</v>
      </c>
    </row>
    <row r="295" spans="2:22" ht="14.5" hidden="1">
      <c r="B295" s="258" t="str">
        <f>IF(ISERROR(VLOOKUP(L293,$M$6:$V$423,7,0)),"",(VLOOKUP(L293,$M$6:$V$423,7,0)))</f>
        <v/>
      </c>
      <c r="C295" s="55" t="str">
        <f>IF(ISERROR(VLOOKUP(L293,$M$6:$V$423,2,0)),"",(VLOOKUP(L293,$M$6:$V$423,2,0)))</f>
        <v/>
      </c>
      <c r="D295" s="53" t="str">
        <f>IF(ISERROR(VLOOKUP(L293,$M$6:$V$423,8,0)),"",(VLOOKUP(L293,$M$6:$V$423,8,0)))</f>
        <v/>
      </c>
      <c r="L295" s="36">
        <v>290</v>
      </c>
      <c r="M295" s="39">
        <f t="shared" si="63"/>
        <v>0</v>
      </c>
      <c r="N295" s="40" t="s">
        <v>64</v>
      </c>
      <c r="O295" s="41"/>
      <c r="P295" s="39">
        <f>'NPT Adapters'!H58</f>
        <v>0</v>
      </c>
      <c r="Q295" s="167">
        <f>'NPT Adapters'!I58</f>
        <v>155.05000000000001</v>
      </c>
      <c r="R295" s="98">
        <f>'NPT Adapters'!K58</f>
        <v>0</v>
      </c>
      <c r="S295" s="39">
        <f>'NPT Adapters'!D58</f>
        <v>2811652090</v>
      </c>
      <c r="T295" s="40" t="str">
        <f>'NPT Adapters'!E58</f>
        <v>63 / 2 1/2"</v>
      </c>
      <c r="U295" s="40" t="str">
        <f>'NPT Adapters'!F58</f>
        <v>2"</v>
      </c>
      <c r="V295" s="39">
        <v>2</v>
      </c>
    </row>
    <row r="296" spans="2:22" ht="14.5" hidden="1">
      <c r="B296" s="258" t="str">
        <f>IF(ISERROR(VLOOKUP(L294,$M$6:$V$423,7,0)),"",(VLOOKUP(L294,$M$6:$V$423,7,0)))</f>
        <v/>
      </c>
      <c r="C296" s="55" t="str">
        <f>IF(ISERROR(VLOOKUP(L294,$M$6:$V$423,2,0)),"",(VLOOKUP(L294,$M$6:$V$423,2,0)))</f>
        <v/>
      </c>
      <c r="D296" s="53" t="str">
        <f>IF(ISERROR(VLOOKUP(L294,$M$6:$V$423,8,0)),"",(VLOOKUP(L294,$M$6:$V$423,8,0)))</f>
        <v/>
      </c>
      <c r="L296" s="36">
        <v>291</v>
      </c>
      <c r="M296" s="39">
        <f t="shared" si="63"/>
        <v>0</v>
      </c>
      <c r="N296" s="40" t="s">
        <v>64</v>
      </c>
      <c r="O296" s="41"/>
      <c r="P296" s="39">
        <f>'NPT Adapters'!H60</f>
        <v>0</v>
      </c>
      <c r="Q296" s="167">
        <f>'NPT Adapters'!I60</f>
        <v>196.88</v>
      </c>
      <c r="R296" s="98">
        <f>'NPT Adapters'!K60</f>
        <v>0</v>
      </c>
      <c r="S296" s="39">
        <f>'NPT Adapters'!D60</f>
        <v>2811762090</v>
      </c>
      <c r="T296" s="40" t="str">
        <f>'NPT Adapters'!E60</f>
        <v>80 / 3"</v>
      </c>
      <c r="U296" s="40" t="str">
        <f>'NPT Adapters'!F60</f>
        <v>2 1/2"</v>
      </c>
      <c r="V296" s="39">
        <v>3</v>
      </c>
    </row>
    <row r="297" spans="2:22" ht="14.5" hidden="1">
      <c r="B297" s="258" t="str">
        <f>IF(ISERROR(VLOOKUP(L295,$M$6:$V$423,7,0)),"",(VLOOKUP(L295,$M$6:$V$423,7,0)))</f>
        <v/>
      </c>
      <c r="C297" s="55" t="str">
        <f>IF(ISERROR(VLOOKUP(L295,$M$6:$V$423,2,0)),"",(VLOOKUP(L295,$M$6:$V$423,2,0)))</f>
        <v/>
      </c>
      <c r="D297" s="53" t="str">
        <f>IF(ISERROR(VLOOKUP(L295,$M$6:$V$423,8,0)),"",(VLOOKUP(L295,$M$6:$V$423,8,0)))</f>
        <v/>
      </c>
      <c r="L297" s="36">
        <v>292</v>
      </c>
      <c r="M297" s="39">
        <f t="shared" si="63"/>
        <v>0</v>
      </c>
      <c r="N297" s="40" t="s">
        <v>64</v>
      </c>
      <c r="O297" s="41"/>
      <c r="P297" s="39">
        <f>'NPT Adapters'!H61</f>
        <v>0</v>
      </c>
      <c r="Q297" s="98">
        <f>'NPT Adapters'!I61</f>
        <v>196.88</v>
      </c>
      <c r="R297" s="98">
        <f>'NPT Adapters'!K61</f>
        <v>0</v>
      </c>
      <c r="S297" s="39">
        <f>'NPT Adapters'!D61</f>
        <v>2811772090</v>
      </c>
      <c r="T297" s="40" t="str">
        <f>'NPT Adapters'!E61</f>
        <v>80 / 3"</v>
      </c>
      <c r="U297" s="40" t="str">
        <f>'NPT Adapters'!F61</f>
        <v>3"</v>
      </c>
      <c r="V297" s="39">
        <v>4</v>
      </c>
    </row>
    <row r="298" spans="2:22" ht="14.5" hidden="1">
      <c r="B298" s="258" t="str">
        <f>IF(ISERROR(VLOOKUP(#REF!,$M$6:$V$423,7,0)),"",(VLOOKUP(#REF!,$M$6:$V$423,7,0)))</f>
        <v/>
      </c>
      <c r="C298" s="55" t="str">
        <f>IF(ISERROR(VLOOKUP(#REF!,$M$6:$V$423,2,0)),"",(VLOOKUP(#REF!,$M$6:$V$423,2,0)))</f>
        <v/>
      </c>
      <c r="D298" s="53" t="str">
        <f>IF(ISERROR(VLOOKUP(#REF!,$M$6:$V$423,8,0)),"",(VLOOKUP(#REF!,$M$6:$V$423,8,0)))</f>
        <v/>
      </c>
      <c r="L298" s="36">
        <v>293</v>
      </c>
      <c r="M298" s="39">
        <f t="shared" si="63"/>
        <v>0</v>
      </c>
      <c r="N298" s="41"/>
      <c r="O298" s="41"/>
      <c r="P298" s="86">
        <f>'NPT Adapters'!H63</f>
        <v>0</v>
      </c>
      <c r="Q298" s="99"/>
      <c r="R298" s="99"/>
      <c r="S298" s="86">
        <f>'NPT Adapters'!D63</f>
        <v>0</v>
      </c>
      <c r="T298" s="41">
        <f>'NPT Adapters'!E63</f>
        <v>0</v>
      </c>
      <c r="U298" s="41">
        <f>'NPT Adapters'!F63</f>
        <v>0</v>
      </c>
      <c r="V298" s="86"/>
    </row>
    <row r="299" spans="2:22" ht="14.5" hidden="1">
      <c r="B299" s="258" t="str">
        <f>IF(ISERROR(VLOOKUP(#REF!,$M$6:$V$423,7,0)),"",(VLOOKUP(#REF!,$M$6:$V$423,7,0)))</f>
        <v/>
      </c>
      <c r="C299" s="55" t="str">
        <f>IF(ISERROR(VLOOKUP(#REF!,$M$6:$V$423,2,0)),"",(VLOOKUP(#REF!,$M$6:$V$423,2,0)))</f>
        <v/>
      </c>
      <c r="D299" s="53" t="str">
        <f>IF(ISERROR(VLOOKUP(#REF!,$M$6:$V$423,8,0)),"",(VLOOKUP(#REF!,$M$6:$V$423,8,0)))</f>
        <v/>
      </c>
      <c r="L299" s="36">
        <v>294</v>
      </c>
      <c r="M299" s="39">
        <f t="shared" si="63"/>
        <v>0</v>
      </c>
      <c r="N299" s="5" t="s">
        <v>219</v>
      </c>
      <c r="O299" s="41"/>
      <c r="P299" s="39">
        <f>'HANGING MATERIAL'!H4</f>
        <v>0</v>
      </c>
      <c r="Q299" s="98">
        <f>'HANGING MATERIAL'!I4</f>
        <v>35.96</v>
      </c>
      <c r="R299" s="98">
        <f>'HANGING MATERIAL'!K4</f>
        <v>0</v>
      </c>
      <c r="S299" s="39">
        <f>'HANGING MATERIAL'!D4</f>
        <v>2811112220</v>
      </c>
      <c r="T299" s="40" t="str">
        <f>'HANGING MATERIAL'!E4</f>
        <v>20 / ¾"</v>
      </c>
      <c r="U299" s="40" t="str">
        <f>'HANGING MATERIAL'!F4</f>
        <v>1/4" UNC</v>
      </c>
      <c r="V299" s="39">
        <v>20</v>
      </c>
    </row>
    <row r="300" spans="2:22" ht="14.5" hidden="1">
      <c r="B300" s="258" t="str">
        <f>IF(ISERROR(VLOOKUP(#REF!,$M$6:$V$423,7,0)),"",(VLOOKUP(#REF!,$M$6:$V$423,7,0)))</f>
        <v/>
      </c>
      <c r="C300" s="55" t="str">
        <f>IF(ISERROR(VLOOKUP(#REF!,$M$6:$V$423,2,0)),"",(VLOOKUP(#REF!,$M$6:$V$423,2,0)))</f>
        <v/>
      </c>
      <c r="D300" s="53" t="str">
        <f>IF(ISERROR(VLOOKUP(#REF!,$M$6:$V$423,8,0)),"",(VLOOKUP(#REF!,$M$6:$V$423,8,0)))</f>
        <v/>
      </c>
      <c r="L300" s="36">
        <v>295</v>
      </c>
      <c r="M300" s="39">
        <f t="shared" si="63"/>
        <v>0</v>
      </c>
      <c r="N300" s="5" t="s">
        <v>219</v>
      </c>
      <c r="O300" s="41"/>
      <c r="P300" s="39">
        <f>'HANGING MATERIAL'!H5</f>
        <v>0</v>
      </c>
      <c r="Q300" s="98">
        <f>'HANGING MATERIAL'!I5</f>
        <v>38.43</v>
      </c>
      <c r="R300" s="98">
        <f>'HANGING MATERIAL'!K5</f>
        <v>0</v>
      </c>
      <c r="S300" s="39">
        <f>'HANGING MATERIAL'!D5</f>
        <v>2811212220</v>
      </c>
      <c r="T300" s="40" t="str">
        <f>'HANGING MATERIAL'!E5</f>
        <v>25 / 1"</v>
      </c>
      <c r="U300" s="40" t="str">
        <f>'HANGING MATERIAL'!F5</f>
        <v>1/4" UNC</v>
      </c>
      <c r="V300" s="39">
        <v>20</v>
      </c>
    </row>
    <row r="301" spans="2:22" ht="14.5" hidden="1">
      <c r="B301" s="258" t="str">
        <f>IF(ISERROR(VLOOKUP(#REF!,$M$6:$V$423,7,0)),"",(VLOOKUP(#REF!,$M$6:$V$423,7,0)))</f>
        <v/>
      </c>
      <c r="C301" s="55" t="str">
        <f>IF(ISERROR(VLOOKUP(#REF!,$M$6:$V$423,2,0)),"",(VLOOKUP(#REF!,$M$6:$V$423,2,0)))</f>
        <v/>
      </c>
      <c r="D301" s="53" t="str">
        <f>IF(ISERROR(VLOOKUP(#REF!,$M$6:$V$423,8,0)),"",(VLOOKUP(#REF!,$M$6:$V$423,8,0)))</f>
        <v/>
      </c>
      <c r="L301" s="36">
        <v>296</v>
      </c>
      <c r="M301" s="39">
        <f t="shared" si="63"/>
        <v>0</v>
      </c>
      <c r="N301" s="5" t="s">
        <v>219</v>
      </c>
      <c r="O301" s="41"/>
      <c r="P301" s="39">
        <f>'HANGING MATERIAL'!H6</f>
        <v>0</v>
      </c>
      <c r="Q301" s="98">
        <f>'HANGING MATERIAL'!I6</f>
        <v>33.520000000000003</v>
      </c>
      <c r="R301" s="98">
        <f>'HANGING MATERIAL'!K6</f>
        <v>0</v>
      </c>
      <c r="S301" s="39">
        <f>'HANGING MATERIAL'!D6</f>
        <v>2811412220</v>
      </c>
      <c r="T301" s="40" t="str">
        <f>'HANGING MATERIAL'!E6</f>
        <v>40 / 1½"</v>
      </c>
      <c r="U301" s="40" t="str">
        <f>'HANGING MATERIAL'!F6</f>
        <v>1/4" UNC</v>
      </c>
      <c r="V301" s="39">
        <v>20</v>
      </c>
    </row>
    <row r="302" spans="2:22" ht="14.5" hidden="1">
      <c r="B302" s="258" t="str">
        <f>IF(ISERROR(VLOOKUP(L302,$M$6:$V$423,7,0)),"",(VLOOKUP(L302,$M$6:$V$423,7,0)))</f>
        <v/>
      </c>
      <c r="C302" s="55" t="str">
        <f>IF(ISERROR(VLOOKUP(L302,$M$6:$V$423,2,0)),"",(VLOOKUP(L302,$M$6:$V$423,2,0)))</f>
        <v/>
      </c>
      <c r="D302" s="53" t="str">
        <f>IF(ISERROR(VLOOKUP(L302,$M$6:$V$423,8,0)),"",(VLOOKUP(L302,$M$6:$V$423,8,0)))</f>
        <v/>
      </c>
      <c r="L302" s="36">
        <v>297</v>
      </c>
      <c r="M302" s="39">
        <f t="shared" si="63"/>
        <v>0</v>
      </c>
      <c r="N302" s="5" t="s">
        <v>219</v>
      </c>
      <c r="O302" s="41"/>
      <c r="P302" s="39">
        <f>'HANGING MATERIAL'!H7</f>
        <v>0</v>
      </c>
      <c r="Q302" s="98">
        <f>'HANGING MATERIAL'!I7</f>
        <v>58.22</v>
      </c>
      <c r="R302" s="98">
        <f>'HANGING MATERIAL'!K7</f>
        <v>0</v>
      </c>
      <c r="S302" s="39">
        <f>'HANGING MATERIAL'!D7</f>
        <v>2811512220</v>
      </c>
      <c r="T302" s="40" t="str">
        <f>'HANGING MATERIAL'!E7</f>
        <v>50 / 2"</v>
      </c>
      <c r="U302" s="40" t="str">
        <f>'HANGING MATERIAL'!F7</f>
        <v>1/4" UNC</v>
      </c>
      <c r="V302" s="39">
        <v>20</v>
      </c>
    </row>
    <row r="303" spans="2:22" ht="14.5" hidden="1">
      <c r="B303" s="258" t="str">
        <f>IF(ISERROR(VLOOKUP(L303,$M$6:$V$423,7,0)),"",(VLOOKUP(L303,$M$6:$V$423,7,0)))</f>
        <v/>
      </c>
      <c r="C303" s="55" t="str">
        <f>IF(ISERROR(VLOOKUP(L303,$M$6:$V$423,2,0)),"",(VLOOKUP(L303,$M$6:$V$423,2,0)))</f>
        <v/>
      </c>
      <c r="D303" s="53" t="str">
        <f>IF(ISERROR(VLOOKUP(L303,$M$6:$V$423,8,0)),"",(VLOOKUP(L303,$M$6:$V$423,8,0)))</f>
        <v/>
      </c>
      <c r="L303" s="36">
        <v>298</v>
      </c>
      <c r="M303" s="39">
        <f t="shared" si="63"/>
        <v>0</v>
      </c>
      <c r="N303" s="5" t="s">
        <v>219</v>
      </c>
      <c r="O303" s="41"/>
      <c r="P303" s="39">
        <f>'HANGING MATERIAL'!H8</f>
        <v>0</v>
      </c>
      <c r="Q303" s="98">
        <f>'HANGING MATERIAL'!I8</f>
        <v>119.54</v>
      </c>
      <c r="R303" s="98">
        <f>'HANGING MATERIAL'!K8</f>
        <v>0</v>
      </c>
      <c r="S303" s="39">
        <f>'HANGING MATERIAL'!D8</f>
        <v>2811612220</v>
      </c>
      <c r="T303" s="40" t="str">
        <f>'HANGING MATERIAL'!E8</f>
        <v>63 / 2½"</v>
      </c>
      <c r="U303" s="40" t="str">
        <f>'HANGING MATERIAL'!F8</f>
        <v>5/16" UNC</v>
      </c>
      <c r="V303" s="39">
        <v>20</v>
      </c>
    </row>
    <row r="304" spans="2:22" ht="14.5" hidden="1">
      <c r="B304" s="258" t="str">
        <f>IF(ISERROR(VLOOKUP(L306,$M$6:$V$423,7,0)),"",(VLOOKUP(L306,$M$6:$V$423,7,0)))</f>
        <v/>
      </c>
      <c r="C304" s="55" t="str">
        <f>IF(ISERROR(VLOOKUP(L306,$M$6:$V$423,2,0)),"",(VLOOKUP(L306,$M$6:$V$423,2,0)))</f>
        <v/>
      </c>
      <c r="D304" s="53" t="str">
        <f>IF(ISERROR(VLOOKUP(L306,$M$6:$V$423,8,0)),"",(VLOOKUP(L306,$M$6:$V$423,8,0)))</f>
        <v/>
      </c>
      <c r="L304" s="36">
        <v>299</v>
      </c>
      <c r="M304" s="39">
        <f t="shared" si="63"/>
        <v>0</v>
      </c>
      <c r="N304" s="5" t="s">
        <v>219</v>
      </c>
      <c r="O304" s="41"/>
      <c r="P304" s="39">
        <f>'HANGING MATERIAL'!H9</f>
        <v>0</v>
      </c>
      <c r="Q304" s="98">
        <f>'HANGING MATERIAL'!I9</f>
        <v>121.52</v>
      </c>
      <c r="R304" s="98">
        <f>'HANGING MATERIAL'!K9</f>
        <v>0</v>
      </c>
      <c r="S304" s="39">
        <f>'HANGING MATERIAL'!D9</f>
        <v>2811712220</v>
      </c>
      <c r="T304" s="40" t="str">
        <f>'HANGING MATERIAL'!E9</f>
        <v>80 / 3"</v>
      </c>
      <c r="U304" s="40" t="str">
        <f>'HANGING MATERIAL'!F9</f>
        <v>5/16" UNC</v>
      </c>
      <c r="V304" s="39">
        <v>20</v>
      </c>
    </row>
    <row r="305" spans="2:22" ht="14.5" hidden="1">
      <c r="B305" s="258" t="str">
        <f>IF(ISERROR(VLOOKUP(L309,$M$6:$V$423,7,0)),"",(VLOOKUP(L309,$M$6:$V$423,7,0)))</f>
        <v/>
      </c>
      <c r="C305" s="55" t="str">
        <f>IF(ISERROR(VLOOKUP(L309,$M$6:$V$423,2,0)),"",(VLOOKUP(L309,$M$6:$V$423,2,0)))</f>
        <v/>
      </c>
      <c r="D305" s="53" t="str">
        <f>IF(ISERROR(VLOOKUP(L309,$M$6:$V$423,8,0)),"",(VLOOKUP(L309,$M$6:$V$423,8,0)))</f>
        <v/>
      </c>
      <c r="L305" s="36">
        <v>300</v>
      </c>
      <c r="M305" s="39">
        <f t="shared" si="63"/>
        <v>0</v>
      </c>
      <c r="N305" s="5" t="s">
        <v>219</v>
      </c>
      <c r="O305" s="41"/>
      <c r="P305" s="39">
        <f>'HANGING MATERIAL'!H10</f>
        <v>0</v>
      </c>
      <c r="Q305" s="98">
        <f>'HANGING MATERIAL'!I10</f>
        <v>19.489999999999998</v>
      </c>
      <c r="R305" s="98">
        <f>'HANGING MATERIAL'!K10</f>
        <v>0</v>
      </c>
      <c r="S305" s="39">
        <f>'HANGING MATERIAL'!D10</f>
        <v>1312101361</v>
      </c>
      <c r="T305" s="40" t="str">
        <f>'HANGING MATERIAL'!E10</f>
        <v>100 / 4"</v>
      </c>
      <c r="U305" s="40" t="str">
        <f>'HANGING MATERIAL'!F10</f>
        <v>3/8" UNC</v>
      </c>
      <c r="V305" s="39">
        <v>1</v>
      </c>
    </row>
    <row r="306" spans="2:22" ht="14.5" hidden="1">
      <c r="L306" s="36">
        <v>301</v>
      </c>
      <c r="M306" s="39">
        <f t="shared" si="63"/>
        <v>0</v>
      </c>
      <c r="N306" s="5" t="s">
        <v>219</v>
      </c>
      <c r="O306" s="41"/>
      <c r="P306" s="39">
        <f>'HANGING MATERIAL'!H11</f>
        <v>0</v>
      </c>
      <c r="Q306" s="98">
        <f>'HANGING MATERIAL'!I11</f>
        <v>160.13</v>
      </c>
      <c r="R306" s="98">
        <f>'HANGING MATERIAL'!K11</f>
        <v>0</v>
      </c>
      <c r="S306" s="39">
        <f>'HANGING MATERIAL'!D11</f>
        <v>2810912210</v>
      </c>
      <c r="T306" s="40" t="str">
        <f>'HANGING MATERIAL'!E11</f>
        <v>158 / 6"</v>
      </c>
      <c r="U306" s="40" t="str">
        <f>'HANGING MATERIAL'!F11</f>
        <v>3/8" UNC</v>
      </c>
      <c r="V306" s="39">
        <v>10</v>
      </c>
    </row>
    <row r="307" spans="2:22" ht="14.5" hidden="1">
      <c r="L307" s="36">
        <v>302</v>
      </c>
      <c r="M307" s="39">
        <f t="shared" si="63"/>
        <v>0</v>
      </c>
      <c r="N307" s="18"/>
      <c r="O307" s="41"/>
      <c r="Q307" s="12"/>
      <c r="R307" s="12"/>
      <c r="T307"/>
    </row>
    <row r="308" spans="2:22" ht="14.5" hidden="1">
      <c r="L308" s="36">
        <v>303</v>
      </c>
      <c r="M308" s="39">
        <f t="shared" si="63"/>
        <v>0</v>
      </c>
      <c r="N308" s="5" t="s">
        <v>338</v>
      </c>
      <c r="O308" s="41"/>
      <c r="P308" s="39">
        <f>'HANGING MATERIAL'!H13</f>
        <v>0</v>
      </c>
      <c r="Q308" s="98">
        <f>'HANGING MATERIAL'!I13</f>
        <v>17.48</v>
      </c>
      <c r="R308" s="98">
        <f>'HANGING MATERIAL'!K13</f>
        <v>0</v>
      </c>
      <c r="S308" s="39">
        <f>'HANGING MATERIAL'!D13</f>
        <v>2811002710</v>
      </c>
      <c r="T308" s="40" t="str">
        <f>'HANGING MATERIAL'!E13</f>
        <v>20-25 / 3/4"-1"</v>
      </c>
      <c r="U308" s="40">
        <f>'HANGING MATERIAL'!F13</f>
        <v>15</v>
      </c>
      <c r="V308" s="39">
        <v>10</v>
      </c>
    </row>
    <row r="309" spans="2:22" ht="14.5" hidden="1">
      <c r="L309" s="36">
        <v>304</v>
      </c>
      <c r="M309" s="39">
        <f t="shared" si="63"/>
        <v>0</v>
      </c>
      <c r="N309" s="5" t="s">
        <v>338</v>
      </c>
      <c r="O309" s="41"/>
      <c r="P309" s="39">
        <f>'HANGING MATERIAL'!H14</f>
        <v>0</v>
      </c>
      <c r="Q309" s="98">
        <f>'HANGING MATERIAL'!I14</f>
        <v>34.840000000000003</v>
      </c>
      <c r="R309" s="98">
        <f>'HANGING MATERIAL'!K14</f>
        <v>0</v>
      </c>
      <c r="S309" s="39">
        <f>'HANGING MATERIAL'!D14</f>
        <v>2811012710</v>
      </c>
      <c r="T309" s="40" t="str">
        <f>'HANGING MATERIAL'!E14</f>
        <v>40-50 / 1 1/2"- 2"</v>
      </c>
      <c r="U309" s="40">
        <f>'HANGING MATERIAL'!F14</f>
        <v>20</v>
      </c>
      <c r="V309" s="39">
        <v>10</v>
      </c>
    </row>
    <row r="310" spans="2:22" ht="14.5" hidden="1">
      <c r="L310" s="36">
        <v>305</v>
      </c>
      <c r="M310" s="39">
        <f t="shared" si="63"/>
        <v>0</v>
      </c>
      <c r="N310" s="5" t="s">
        <v>338</v>
      </c>
      <c r="O310" s="41"/>
      <c r="P310" s="39">
        <f>'HANGING MATERIAL'!H15</f>
        <v>0</v>
      </c>
      <c r="Q310" s="98">
        <f>'HANGING MATERIAL'!I15</f>
        <v>48.02</v>
      </c>
      <c r="R310" s="98">
        <f>'HANGING MATERIAL'!K15</f>
        <v>0</v>
      </c>
      <c r="S310" s="39">
        <f>'HANGING MATERIAL'!D15</f>
        <v>2811022710</v>
      </c>
      <c r="T310" s="40" t="str">
        <f>'HANGING MATERIAL'!E15</f>
        <v>63-80 / 2 1/2" - 3"</v>
      </c>
      <c r="U310" s="40">
        <f>'HANGING MATERIAL'!F15</f>
        <v>30</v>
      </c>
      <c r="V310" s="39">
        <v>10</v>
      </c>
    </row>
    <row r="311" spans="2:22" ht="14.5" hidden="1">
      <c r="L311" s="36">
        <v>306</v>
      </c>
      <c r="M311" s="39">
        <f t="shared" si="63"/>
        <v>0</v>
      </c>
      <c r="N311" s="5" t="s">
        <v>338</v>
      </c>
      <c r="O311" s="41"/>
      <c r="P311" s="39">
        <f>'HANGING MATERIAL'!H16</f>
        <v>0</v>
      </c>
      <c r="Q311" s="98">
        <f>'HANGING MATERIAL'!I16</f>
        <v>180.08</v>
      </c>
      <c r="R311" s="98">
        <f>'HANGING MATERIAL'!K16</f>
        <v>0</v>
      </c>
      <c r="S311" s="39">
        <f>'HANGING MATERIAL'!D16</f>
        <v>2810032710</v>
      </c>
      <c r="T311" s="40" t="str">
        <f>'HANGING MATERIAL'!E16</f>
        <v>100 / 4"</v>
      </c>
      <c r="U311" s="40">
        <f>'HANGING MATERIAL'!F16</f>
        <v>50</v>
      </c>
      <c r="V311" s="39">
        <v>10</v>
      </c>
    </row>
    <row r="312" spans="2:22" ht="14.5" hidden="1">
      <c r="L312" s="36">
        <v>307</v>
      </c>
      <c r="M312" s="39">
        <f t="shared" si="63"/>
        <v>0</v>
      </c>
      <c r="N312" s="18"/>
      <c r="O312" s="41"/>
      <c r="Q312" s="12"/>
      <c r="R312" s="12"/>
      <c r="T312"/>
    </row>
    <row r="313" spans="2:22" ht="14.5" hidden="1">
      <c r="L313" s="36">
        <v>308</v>
      </c>
      <c r="M313" s="39">
        <f t="shared" si="63"/>
        <v>0</v>
      </c>
      <c r="N313" s="18"/>
      <c r="O313" s="41"/>
      <c r="Q313" s="12"/>
      <c r="R313" s="12"/>
      <c r="T313"/>
    </row>
    <row r="314" spans="2:22" ht="14.5" hidden="1">
      <c r="L314" s="36">
        <v>309</v>
      </c>
      <c r="M314" s="39">
        <f t="shared" si="63"/>
        <v>0</v>
      </c>
      <c r="N314" s="5" t="s">
        <v>54</v>
      </c>
      <c r="O314" s="41"/>
      <c r="P314" s="39">
        <f>'HANGING MATERIAL'!H19</f>
        <v>0</v>
      </c>
      <c r="Q314" s="98">
        <f>'HANGING MATERIAL'!I19</f>
        <v>2.59</v>
      </c>
      <c r="R314" s="98">
        <f>'HANGING MATERIAL'!K19</f>
        <v>0</v>
      </c>
      <c r="S314" s="39">
        <f>'HANGING MATERIAL'!D19</f>
        <v>2811017200</v>
      </c>
      <c r="T314" s="40" t="str">
        <f>'HANGING MATERIAL'!E19</f>
        <v>1/4" UNC - 3/8" UNC</v>
      </c>
      <c r="U314" s="40" t="str">
        <f>'HANGING MATERIAL'!F19</f>
        <v>Use with 3/4" - 2" Pipe Clips</v>
      </c>
      <c r="V314" s="39">
        <v>1</v>
      </c>
    </row>
    <row r="315" spans="2:22" ht="14.5" hidden="1">
      <c r="L315" s="36">
        <v>310</v>
      </c>
      <c r="M315" s="39">
        <f t="shared" si="63"/>
        <v>0</v>
      </c>
      <c r="N315" s="5" t="s">
        <v>54</v>
      </c>
      <c r="O315" s="41"/>
      <c r="P315" s="39">
        <f>'HANGING MATERIAL'!H20</f>
        <v>0</v>
      </c>
      <c r="Q315" s="98">
        <f>'HANGING MATERIAL'!I20</f>
        <v>3.03</v>
      </c>
      <c r="R315" s="98">
        <f>'HANGING MATERIAL'!K20</f>
        <v>0</v>
      </c>
      <c r="S315" s="39">
        <f>'HANGING MATERIAL'!D20</f>
        <v>2811027200</v>
      </c>
      <c r="T315" s="40" t="str">
        <f>'HANGING MATERIAL'!E20</f>
        <v>5/16" UNC - 3/8" UNC</v>
      </c>
      <c r="U315" s="40" t="str">
        <f>'HANGING MATERIAL'!F20</f>
        <v>Use with 2 1/2" &amp; 3" Pipe Clips</v>
      </c>
      <c r="V315" s="39">
        <v>1</v>
      </c>
    </row>
    <row r="316" spans="2:22" ht="14.5" hidden="1">
      <c r="L316" s="36">
        <v>311</v>
      </c>
      <c r="M316" s="39">
        <f t="shared" si="63"/>
        <v>0</v>
      </c>
      <c r="N316" s="18"/>
      <c r="O316" s="41"/>
      <c r="P316" s="2">
        <f>'HANGING MATERIAL'!H25</f>
        <v>0</v>
      </c>
      <c r="Q316" s="12"/>
      <c r="R316" s="12"/>
      <c r="S316" s="2">
        <f>'HANGING MATERIAL'!D25</f>
        <v>0</v>
      </c>
      <c r="T316"/>
    </row>
    <row r="317" spans="2:22" ht="14.5" hidden="1">
      <c r="L317" s="36">
        <v>312</v>
      </c>
      <c r="M317" s="39">
        <f t="shared" si="63"/>
        <v>0</v>
      </c>
      <c r="N317" s="5" t="s">
        <v>339</v>
      </c>
      <c r="O317" s="41"/>
      <c r="P317" s="39">
        <f>'HANGING MATERIAL'!H26</f>
        <v>0</v>
      </c>
      <c r="Q317" s="98">
        <f>'HANGING MATERIAL'!I26</f>
        <v>6.56</v>
      </c>
      <c r="R317" s="98">
        <f>'HANGING MATERIAL'!K26</f>
        <v>0</v>
      </c>
      <c r="S317" s="39">
        <f>'HANGING MATERIAL'!D26</f>
        <v>1310074482</v>
      </c>
      <c r="T317" s="40" t="str">
        <f>'HANGING MATERIAL'!E26</f>
        <v>1/4"</v>
      </c>
      <c r="U317" s="40" t="str">
        <f>'HANGING MATERIAL'!F26</f>
        <v>Use with 3/4" - 2" Pipe Clips</v>
      </c>
      <c r="V317" s="39">
        <v>10</v>
      </c>
    </row>
    <row r="318" spans="2:22" ht="14.4" hidden="1" customHeight="1">
      <c r="L318" s="36">
        <v>313</v>
      </c>
      <c r="M318" s="39">
        <f t="shared" si="63"/>
        <v>0</v>
      </c>
      <c r="N318" s="5" t="s">
        <v>339</v>
      </c>
      <c r="O318" s="41"/>
      <c r="P318" s="39">
        <f>'HANGING MATERIAL'!H27</f>
        <v>0</v>
      </c>
      <c r="Q318" s="98">
        <f>'HANGING MATERIAL'!I27</f>
        <v>9.27</v>
      </c>
      <c r="R318" s="98">
        <f>'HANGING MATERIAL'!K27</f>
        <v>0</v>
      </c>
      <c r="S318" s="39">
        <f>'HANGING MATERIAL'!D27</f>
        <v>1310074483</v>
      </c>
      <c r="T318" s="40" t="str">
        <f>'HANGING MATERIAL'!E27</f>
        <v>5/16"</v>
      </c>
      <c r="U318" s="40" t="str">
        <f>'HANGING MATERIAL'!F27</f>
        <v>Use with 2 1/2" - 3" Pipe Clips</v>
      </c>
      <c r="V318" s="39">
        <v>1</v>
      </c>
    </row>
    <row r="319" spans="2:22" ht="14.4" hidden="1" customHeight="1">
      <c r="L319" s="36">
        <v>314</v>
      </c>
      <c r="M319" s="39">
        <f t="shared" si="63"/>
        <v>0</v>
      </c>
      <c r="N319" s="5" t="s">
        <v>339</v>
      </c>
      <c r="O319" s="41"/>
      <c r="P319" s="39">
        <f>'HANGING MATERIAL'!H28</f>
        <v>0</v>
      </c>
      <c r="Q319" s="98">
        <f>'HANGING MATERIAL'!I28</f>
        <v>77.489999999999995</v>
      </c>
      <c r="R319" s="98">
        <f>'HANGING MATERIAL'!K28</f>
        <v>0</v>
      </c>
      <c r="S319" s="39">
        <f>'HANGING MATERIAL'!D28</f>
        <v>2810003610</v>
      </c>
      <c r="T319" s="40" t="str">
        <f>'HANGING MATERIAL'!E28</f>
        <v>3/8"</v>
      </c>
      <c r="U319" s="40" t="str">
        <f>'HANGING MATERIAL'!F28</f>
        <v>Use with 4 &amp; 6" Pipe Clips</v>
      </c>
      <c r="V319" s="39">
        <v>1</v>
      </c>
    </row>
    <row r="320" spans="2:22" ht="14.4" hidden="1" customHeight="1">
      <c r="L320" s="36">
        <v>315</v>
      </c>
      <c r="M320" s="39">
        <f t="shared" si="63"/>
        <v>0</v>
      </c>
      <c r="N320" s="18"/>
      <c r="O320" s="41"/>
      <c r="Q320" s="12"/>
      <c r="R320" s="12"/>
      <c r="S320" s="2">
        <f>'HANGING MATERIAL'!D29</f>
        <v>0</v>
      </c>
      <c r="T320">
        <f>'HANGING MATERIAL'!E29</f>
        <v>0</v>
      </c>
      <c r="U320">
        <f>'HANGING MATERIAL'!F29</f>
        <v>0</v>
      </c>
    </row>
    <row r="321" spans="12:22" ht="14.4" hidden="1" customHeight="1">
      <c r="L321" s="36">
        <v>316</v>
      </c>
      <c r="M321" s="39">
        <f t="shared" si="63"/>
        <v>0</v>
      </c>
      <c r="N321" s="5" t="s">
        <v>210</v>
      </c>
      <c r="O321" s="41"/>
      <c r="P321" s="39">
        <f>'HANGING MATERIAL'!H33</f>
        <v>0</v>
      </c>
      <c r="Q321" s="98">
        <f>'HANGING MATERIAL'!I33</f>
        <v>2.14</v>
      </c>
      <c r="R321" s="98">
        <f>'HANGING MATERIAL'!K33</f>
        <v>0</v>
      </c>
      <c r="S321" s="39">
        <f>'HANGING MATERIAL'!D33</f>
        <v>1310074250</v>
      </c>
      <c r="T321" s="40" t="str">
        <f>'HANGING MATERIAL'!E33</f>
        <v>1/4"</v>
      </c>
      <c r="U321" s="40" t="str">
        <f>'HANGING MATERIAL'!F33</f>
        <v>Use with 3/4" - 2" Pipe Clips</v>
      </c>
      <c r="V321" s="39">
        <v>1</v>
      </c>
    </row>
    <row r="322" spans="12:22" ht="14.4" hidden="1" customHeight="1">
      <c r="L322" s="36">
        <v>317</v>
      </c>
      <c r="M322" s="39">
        <f t="shared" si="63"/>
        <v>0</v>
      </c>
      <c r="N322" s="5" t="s">
        <v>210</v>
      </c>
      <c r="O322" s="41"/>
      <c r="P322" s="39">
        <f>'HANGING MATERIAL'!H34</f>
        <v>0</v>
      </c>
      <c r="Q322" s="98">
        <f>'HANGING MATERIAL'!I34</f>
        <v>5.4</v>
      </c>
      <c r="R322" s="98">
        <f>'HANGING MATERIAL'!K34</f>
        <v>0</v>
      </c>
      <c r="S322" s="39">
        <f>'HANGING MATERIAL'!D34</f>
        <v>1310074413</v>
      </c>
      <c r="T322" s="40" t="str">
        <f>'HANGING MATERIAL'!E34</f>
        <v>5/16"</v>
      </c>
      <c r="U322" s="40" t="str">
        <f>'HANGING MATERIAL'!F34</f>
        <v>Use with 2 1/2" &amp; 3" Pipe Clips</v>
      </c>
      <c r="V322" s="39">
        <v>1</v>
      </c>
    </row>
    <row r="323" spans="12:22" ht="14.4" hidden="1" customHeight="1">
      <c r="L323" s="36">
        <v>318</v>
      </c>
      <c r="M323" s="39">
        <f t="shared" si="63"/>
        <v>0</v>
      </c>
      <c r="N323" s="5" t="s">
        <v>210</v>
      </c>
      <c r="O323" s="41"/>
      <c r="P323" s="39">
        <f>'HANGING MATERIAL'!H35</f>
        <v>0</v>
      </c>
      <c r="Q323" s="98">
        <f>'HANGING MATERIAL'!I35</f>
        <v>5.57</v>
      </c>
      <c r="R323" s="98">
        <f>'HANGING MATERIAL'!K35</f>
        <v>0</v>
      </c>
      <c r="S323" s="39">
        <f>'HANGING MATERIAL'!D35</f>
        <v>1310073618</v>
      </c>
      <c r="T323" s="40" t="str">
        <f>'HANGING MATERIAL'!E35</f>
        <v>3/8"</v>
      </c>
      <c r="U323" s="40" t="str">
        <f>'HANGING MATERIAL'!F35</f>
        <v>Use with 4 &amp; 6" Pipe Clips</v>
      </c>
      <c r="V323" s="39">
        <v>1</v>
      </c>
    </row>
    <row r="324" spans="12:22" ht="14.4" hidden="1" customHeight="1">
      <c r="L324" s="36">
        <v>319</v>
      </c>
      <c r="M324" s="39">
        <f t="shared" si="63"/>
        <v>0</v>
      </c>
      <c r="N324" s="18"/>
      <c r="O324" s="41"/>
      <c r="Q324" s="12"/>
      <c r="R324" s="12"/>
      <c r="S324" s="2">
        <f>'HANGING MATERIAL'!D36</f>
        <v>0</v>
      </c>
      <c r="T324">
        <f>'HANGING MATERIAL'!E36</f>
        <v>0</v>
      </c>
      <c r="U324">
        <f>'HANGING MATERIAL'!F36</f>
        <v>0</v>
      </c>
    </row>
    <row r="325" spans="12:22" ht="14.4" hidden="1" customHeight="1">
      <c r="L325" s="36">
        <v>320</v>
      </c>
      <c r="M325" s="39">
        <f t="shared" si="63"/>
        <v>0</v>
      </c>
      <c r="N325" s="18"/>
      <c r="O325" s="41"/>
      <c r="P325" s="2">
        <f>'HANGING MATERIAL'!H54</f>
        <v>0</v>
      </c>
      <c r="Q325" s="12"/>
      <c r="R325" s="12"/>
      <c r="S325" s="2">
        <f>'HANGING MATERIAL'!D54</f>
        <v>0</v>
      </c>
      <c r="T325"/>
      <c r="U325">
        <f>'HANGING MATERIAL'!F54</f>
        <v>0</v>
      </c>
    </row>
    <row r="326" spans="12:22" ht="14.4" hidden="1" customHeight="1">
      <c r="L326" s="36">
        <v>321</v>
      </c>
      <c r="M326" s="39">
        <f t="shared" si="63"/>
        <v>0</v>
      </c>
      <c r="N326" s="5" t="s">
        <v>46</v>
      </c>
      <c r="O326" s="41"/>
      <c r="P326" s="39">
        <f>'HANGING MATERIAL'!H56</f>
        <v>0</v>
      </c>
      <c r="Q326" s="98">
        <f>'HANGING MATERIAL'!I56</f>
        <v>96.62</v>
      </c>
      <c r="R326" s="98">
        <f>'HANGING MATERIAL'!K56</f>
        <v>0</v>
      </c>
      <c r="S326" s="39">
        <f>'HANGING MATERIAL'!D56</f>
        <v>2810003205</v>
      </c>
      <c r="T326" s="40" t="str">
        <f>'HANGING MATERIAL'!E56</f>
        <v>12"</v>
      </c>
      <c r="U326" s="40">
        <f>'HANGING MATERIAL'!F56</f>
        <v>0</v>
      </c>
      <c r="V326" s="39">
        <v>5</v>
      </c>
    </row>
    <row r="327" spans="12:22" ht="14.4" hidden="1" customHeight="1">
      <c r="L327" s="36">
        <v>322</v>
      </c>
      <c r="M327" s="39">
        <f t="shared" si="63"/>
        <v>0</v>
      </c>
      <c r="N327" s="18"/>
      <c r="O327" s="41"/>
      <c r="P327" s="2">
        <f>'HANGING MATERIAL'!H61</f>
        <v>0</v>
      </c>
      <c r="Q327" s="12"/>
      <c r="R327" s="12"/>
      <c r="S327" s="2">
        <f>'HANGING MATERIAL'!D61</f>
        <v>0</v>
      </c>
      <c r="T327"/>
      <c r="U327">
        <f>'HANGING MATERIAL'!F61</f>
        <v>0</v>
      </c>
    </row>
    <row r="328" spans="12:22" ht="14.4" hidden="1" customHeight="1">
      <c r="L328" s="36">
        <v>323</v>
      </c>
      <c r="M328" s="39">
        <f t="shared" si="63"/>
        <v>0</v>
      </c>
      <c r="N328" s="5" t="s">
        <v>212</v>
      </c>
      <c r="O328" s="41"/>
      <c r="P328" s="39">
        <f>'HANGING MATERIAL'!H62</f>
        <v>0</v>
      </c>
      <c r="Q328" s="98">
        <f>'HANGING MATERIAL'!I62</f>
        <v>30.12</v>
      </c>
      <c r="R328" s="98">
        <f>'HANGING MATERIAL'!K62</f>
        <v>0</v>
      </c>
      <c r="S328" s="39">
        <f>'HANGING MATERIAL'!D62</f>
        <v>2810023805</v>
      </c>
      <c r="T328" s="40" t="str">
        <f>'HANGING MATERIAL'!E62</f>
        <v>5' length</v>
      </c>
      <c r="U328" s="40">
        <f>'HANGING MATERIAL'!F62</f>
        <v>0</v>
      </c>
      <c r="V328" s="39">
        <v>5</v>
      </c>
    </row>
    <row r="329" spans="12:22" ht="14.4" hidden="1" customHeight="1">
      <c r="L329" s="36">
        <v>324</v>
      </c>
      <c r="M329" s="39">
        <f t="shared" si="63"/>
        <v>0</v>
      </c>
      <c r="N329" s="5" t="s">
        <v>212</v>
      </c>
      <c r="O329" s="41"/>
      <c r="P329" s="39">
        <f>'HANGING MATERIAL'!H63</f>
        <v>0</v>
      </c>
      <c r="Q329" s="98">
        <f>'HANGING MATERIAL'!I63</f>
        <v>80.03</v>
      </c>
      <c r="R329" s="98">
        <f>'HANGING MATERIAL'!K63</f>
        <v>0</v>
      </c>
      <c r="S329" s="39">
        <f>'HANGING MATERIAL'!D63</f>
        <v>2810023810</v>
      </c>
      <c r="T329" s="40" t="str">
        <f>'HANGING MATERIAL'!E63</f>
        <v>5' length</v>
      </c>
      <c r="U329" s="40">
        <f>'HANGING MATERIAL'!F63</f>
        <v>0</v>
      </c>
      <c r="V329" s="39">
        <v>10</v>
      </c>
    </row>
    <row r="330" spans="12:22" ht="14.4" hidden="1" customHeight="1">
      <c r="L330" s="36">
        <v>325</v>
      </c>
      <c r="M330" s="39">
        <f t="shared" si="63"/>
        <v>0</v>
      </c>
      <c r="N330" s="5" t="s">
        <v>212</v>
      </c>
      <c r="O330" s="41"/>
      <c r="P330" s="39">
        <f>'HANGING MATERIAL'!H64</f>
        <v>0</v>
      </c>
      <c r="Q330" s="98">
        <f>'HANGING MATERIAL'!I64</f>
        <v>40.31</v>
      </c>
      <c r="R330" s="98">
        <f>'HANGING MATERIAL'!K64</f>
        <v>0</v>
      </c>
      <c r="S330" s="39">
        <f>'HANGING MATERIAL'!D64</f>
        <v>2810033805</v>
      </c>
      <c r="T330" s="40" t="str">
        <f>'HANGING MATERIAL'!E64</f>
        <v>15' length</v>
      </c>
      <c r="U330" s="40">
        <f>'HANGING MATERIAL'!F64</f>
        <v>0</v>
      </c>
      <c r="V330" s="39">
        <v>5</v>
      </c>
    </row>
    <row r="331" spans="12:22" ht="14.4" hidden="1" customHeight="1">
      <c r="L331" s="36">
        <v>326</v>
      </c>
      <c r="M331" s="39">
        <f t="shared" si="63"/>
        <v>0</v>
      </c>
      <c r="N331" s="5" t="s">
        <v>212</v>
      </c>
      <c r="O331" s="41"/>
      <c r="P331" s="39">
        <f>'HANGING MATERIAL'!H65</f>
        <v>0</v>
      </c>
      <c r="Q331" s="98">
        <f>'HANGING MATERIAL'!I65</f>
        <v>107.24</v>
      </c>
      <c r="R331" s="98">
        <f>'HANGING MATERIAL'!K65</f>
        <v>0</v>
      </c>
      <c r="S331" s="39">
        <f>'HANGING MATERIAL'!D65</f>
        <v>2810033810</v>
      </c>
      <c r="T331" s="40" t="str">
        <f>'HANGING MATERIAL'!E65</f>
        <v>15' length</v>
      </c>
      <c r="U331" s="40">
        <f>'HANGING MATERIAL'!F65</f>
        <v>0</v>
      </c>
      <c r="V331" s="39">
        <v>10</v>
      </c>
    </row>
    <row r="332" spans="12:22" ht="14.4" hidden="1" customHeight="1">
      <c r="L332" s="36">
        <v>327</v>
      </c>
      <c r="M332" s="39">
        <f t="shared" si="63"/>
        <v>0</v>
      </c>
      <c r="N332" s="18"/>
      <c r="O332" s="41"/>
      <c r="Q332" s="12"/>
      <c r="R332" s="12"/>
      <c r="T332"/>
      <c r="U332">
        <f>'HANGING MATERIAL'!F70</f>
        <v>0</v>
      </c>
    </row>
    <row r="333" spans="12:22" ht="14.4" hidden="1" customHeight="1">
      <c r="L333" s="36">
        <v>328</v>
      </c>
      <c r="M333" s="39">
        <f t="shared" si="63"/>
        <v>0</v>
      </c>
      <c r="N333" s="5" t="s">
        <v>213</v>
      </c>
      <c r="O333" s="41"/>
      <c r="P333" s="39">
        <f>'HANGING MATERIAL'!H71</f>
        <v>0</v>
      </c>
      <c r="Q333" s="98">
        <f>'HANGING MATERIAL'!I71</f>
        <v>30.11</v>
      </c>
      <c r="R333" s="98">
        <f>'HANGING MATERIAL'!K71</f>
        <v>0</v>
      </c>
      <c r="S333" s="39">
        <f>'HANGING MATERIAL'!D71</f>
        <v>2810043805</v>
      </c>
      <c r="T333" s="40" t="str">
        <f>'HANGING MATERIAL'!E71</f>
        <v>5' length</v>
      </c>
      <c r="U333" s="40">
        <f>'HANGING MATERIAL'!F71</f>
        <v>0</v>
      </c>
      <c r="V333" s="39">
        <v>5</v>
      </c>
    </row>
    <row r="334" spans="12:22" ht="14.4" hidden="1" customHeight="1">
      <c r="L334" s="36">
        <v>329</v>
      </c>
      <c r="M334" s="39">
        <f t="shared" si="63"/>
        <v>0</v>
      </c>
      <c r="N334" s="5" t="s">
        <v>213</v>
      </c>
      <c r="O334" s="41"/>
      <c r="P334" s="39">
        <f>'HANGING MATERIAL'!H72</f>
        <v>0</v>
      </c>
      <c r="Q334" s="98">
        <f>'HANGING MATERIAL'!I72</f>
        <v>80.05</v>
      </c>
      <c r="R334" s="98">
        <f>'HANGING MATERIAL'!K72</f>
        <v>0</v>
      </c>
      <c r="S334" s="39">
        <f>'HANGING MATERIAL'!D72</f>
        <v>2810043810</v>
      </c>
      <c r="T334" s="40" t="str">
        <f>'HANGING MATERIAL'!E72</f>
        <v>5' length</v>
      </c>
      <c r="U334" s="40">
        <f>'HANGING MATERIAL'!F72</f>
        <v>0</v>
      </c>
      <c r="V334" s="39">
        <v>10</v>
      </c>
    </row>
    <row r="335" spans="12:22" ht="14.4" hidden="1" customHeight="1">
      <c r="L335" s="36">
        <v>330</v>
      </c>
      <c r="M335" s="39">
        <f t="shared" si="63"/>
        <v>0</v>
      </c>
      <c r="N335" s="5" t="s">
        <v>213</v>
      </c>
      <c r="O335" s="41"/>
      <c r="P335" s="39">
        <f>'HANGING MATERIAL'!H73</f>
        <v>0</v>
      </c>
      <c r="Q335" s="98">
        <f>'HANGING MATERIAL'!I73</f>
        <v>57.59</v>
      </c>
      <c r="R335" s="98">
        <f>'HANGING MATERIAL'!K73</f>
        <v>0</v>
      </c>
      <c r="S335" s="39">
        <f>'HANGING MATERIAL'!D73</f>
        <v>2810053805</v>
      </c>
      <c r="T335" s="40" t="str">
        <f>'HANGING MATERIAL'!E73</f>
        <v>15' length</v>
      </c>
      <c r="U335" s="40">
        <f>'HANGING MATERIAL'!F73</f>
        <v>0</v>
      </c>
      <c r="V335" s="39">
        <v>5</v>
      </c>
    </row>
    <row r="336" spans="12:22" ht="14.4" hidden="1" customHeight="1">
      <c r="L336" s="36">
        <v>331</v>
      </c>
      <c r="M336" s="39">
        <f t="shared" si="63"/>
        <v>0</v>
      </c>
      <c r="N336" s="5" t="s">
        <v>213</v>
      </c>
      <c r="O336" s="41"/>
      <c r="P336" s="39">
        <f>'HANGING MATERIAL'!H74</f>
        <v>0</v>
      </c>
      <c r="Q336" s="98">
        <f>'HANGING MATERIAL'!I74</f>
        <v>119.24</v>
      </c>
      <c r="R336" s="98">
        <f>'HANGING MATERIAL'!K74</f>
        <v>0</v>
      </c>
      <c r="S336" s="39">
        <f>'HANGING MATERIAL'!D74</f>
        <v>2810053810</v>
      </c>
      <c r="T336" s="40" t="str">
        <f>'HANGING MATERIAL'!E74</f>
        <v>15' length</v>
      </c>
      <c r="U336" s="40">
        <f>'HANGING MATERIAL'!F74</f>
        <v>0</v>
      </c>
      <c r="V336" s="39">
        <v>10</v>
      </c>
    </row>
    <row r="337" spans="12:22" ht="14.4" hidden="1" customHeight="1">
      <c r="L337" s="36">
        <v>332</v>
      </c>
      <c r="M337" s="39">
        <f t="shared" si="63"/>
        <v>0</v>
      </c>
      <c r="N337" s="9"/>
      <c r="O337" s="41"/>
      <c r="Q337" s="12"/>
      <c r="R337" s="12"/>
      <c r="T337"/>
      <c r="U337">
        <f>'HANGING MATERIAL'!F79</f>
        <v>0</v>
      </c>
    </row>
    <row r="338" spans="12:22" ht="14.4" hidden="1" customHeight="1">
      <c r="L338" s="36">
        <v>333</v>
      </c>
      <c r="M338" s="39">
        <f t="shared" si="63"/>
        <v>0</v>
      </c>
      <c r="N338" s="5" t="s">
        <v>216</v>
      </c>
      <c r="O338" s="41"/>
      <c r="P338" s="39">
        <f>'HANGING MATERIAL'!H80</f>
        <v>0</v>
      </c>
      <c r="Q338" s="98">
        <f>'HANGING MATERIAL'!I80</f>
        <v>30.11</v>
      </c>
      <c r="R338" s="98">
        <f>'HANGING MATERIAL'!K80</f>
        <v>0</v>
      </c>
      <c r="S338" s="39">
        <f>'HANGING MATERIAL'!D80</f>
        <v>2810063805</v>
      </c>
      <c r="T338" s="40" t="str">
        <f>'HANGING MATERIAL'!E80</f>
        <v>5' length</v>
      </c>
      <c r="U338" s="40">
        <f>'HANGING MATERIAL'!F80</f>
        <v>0</v>
      </c>
      <c r="V338" s="39">
        <v>5</v>
      </c>
    </row>
    <row r="339" spans="12:22" ht="14.4" hidden="1" customHeight="1">
      <c r="L339" s="36">
        <v>334</v>
      </c>
      <c r="M339" s="39">
        <f t="shared" si="63"/>
        <v>0</v>
      </c>
      <c r="N339" s="5" t="s">
        <v>216</v>
      </c>
      <c r="O339" s="41"/>
      <c r="P339" s="39">
        <f>'HANGING MATERIAL'!H81</f>
        <v>0</v>
      </c>
      <c r="Q339" s="98">
        <f>'HANGING MATERIAL'!I81</f>
        <v>84.87</v>
      </c>
      <c r="R339" s="98">
        <f>'HANGING MATERIAL'!K81</f>
        <v>0</v>
      </c>
      <c r="S339" s="39">
        <f>'HANGING MATERIAL'!D81</f>
        <v>2810063810</v>
      </c>
      <c r="T339" s="40" t="str">
        <f>'HANGING MATERIAL'!E81</f>
        <v>5' length</v>
      </c>
      <c r="U339" s="40">
        <f>'HANGING MATERIAL'!F81</f>
        <v>0</v>
      </c>
      <c r="V339" s="39">
        <v>10</v>
      </c>
    </row>
    <row r="340" spans="12:22" ht="14.4" hidden="1" customHeight="1">
      <c r="L340" s="36">
        <v>335</v>
      </c>
      <c r="M340" s="39">
        <f t="shared" si="63"/>
        <v>0</v>
      </c>
      <c r="N340" s="5" t="s">
        <v>216</v>
      </c>
      <c r="O340" s="41"/>
      <c r="P340" s="39">
        <f>'HANGING MATERIAL'!H82</f>
        <v>0</v>
      </c>
      <c r="Q340" s="98">
        <f>'HANGING MATERIAL'!I82</f>
        <v>45.72</v>
      </c>
      <c r="R340" s="98">
        <f>'HANGING MATERIAL'!K82</f>
        <v>0</v>
      </c>
      <c r="S340" s="39">
        <f>'HANGING MATERIAL'!D82</f>
        <v>2810073805</v>
      </c>
      <c r="T340" s="40" t="str">
        <f>'HANGING MATERIAL'!E82</f>
        <v>15' length</v>
      </c>
      <c r="U340" s="40">
        <f>'HANGING MATERIAL'!F82</f>
        <v>0</v>
      </c>
      <c r="V340" s="39">
        <v>5</v>
      </c>
    </row>
    <row r="341" spans="12:22" ht="14.4" hidden="1" customHeight="1">
      <c r="L341" s="36">
        <v>336</v>
      </c>
      <c r="M341" s="39">
        <f t="shared" si="63"/>
        <v>0</v>
      </c>
      <c r="N341" s="5" t="s">
        <v>216</v>
      </c>
      <c r="O341" s="41"/>
      <c r="P341" s="39">
        <f>'HANGING MATERIAL'!H83</f>
        <v>0</v>
      </c>
      <c r="Q341" s="98">
        <f>'HANGING MATERIAL'!I83</f>
        <v>108.86</v>
      </c>
      <c r="R341" s="98">
        <f>'HANGING MATERIAL'!K83</f>
        <v>0</v>
      </c>
      <c r="S341" s="39">
        <f>'HANGING MATERIAL'!D83</f>
        <v>2810073810</v>
      </c>
      <c r="T341" s="40" t="str">
        <f>'HANGING MATERIAL'!E83</f>
        <v>15' length</v>
      </c>
      <c r="U341" s="40">
        <f>'HANGING MATERIAL'!F83</f>
        <v>0</v>
      </c>
      <c r="V341" s="39">
        <v>10</v>
      </c>
    </row>
    <row r="342" spans="12:22" ht="14.4" hidden="1" customHeight="1">
      <c r="L342" s="36">
        <v>337</v>
      </c>
      <c r="M342" s="39">
        <f t="shared" si="63"/>
        <v>0</v>
      </c>
      <c r="N342" s="41"/>
      <c r="O342" s="41"/>
      <c r="P342" s="86">
        <f>'HANGING MATERIAL'!H88</f>
        <v>0</v>
      </c>
      <c r="Q342" s="99"/>
      <c r="R342" s="99"/>
      <c r="S342" s="86">
        <f>'HANGING MATERIAL'!D88</f>
        <v>0</v>
      </c>
      <c r="T342" s="41">
        <f>'HANGING MATERIAL'!E88</f>
        <v>0</v>
      </c>
      <c r="U342" s="41">
        <f>'HANGING MATERIAL'!F88</f>
        <v>0</v>
      </c>
      <c r="V342" s="86"/>
    </row>
    <row r="343" spans="12:22" ht="14.4" hidden="1" customHeight="1">
      <c r="L343" s="36">
        <v>338</v>
      </c>
      <c r="M343" s="39">
        <f t="shared" si="63"/>
        <v>0</v>
      </c>
      <c r="N343" s="183" t="s">
        <v>409</v>
      </c>
      <c r="O343" s="41"/>
      <c r="P343" s="39">
        <f>TOOLS!H4</f>
        <v>0</v>
      </c>
      <c r="Q343" s="95">
        <f>TOOLS!I4</f>
        <v>6.68</v>
      </c>
      <c r="R343" s="95">
        <f>TOOLS!J4</f>
        <v>0</v>
      </c>
      <c r="S343" s="39">
        <f>TOOLS!D4</f>
        <v>2811022990</v>
      </c>
      <c r="T343" s="39">
        <f>TOOLS!E4</f>
        <v>0</v>
      </c>
      <c r="U343" s="39" t="str">
        <f>TOOLS!F4</f>
        <v>(Sizes 3/4" - 6")</v>
      </c>
      <c r="V343" s="39">
        <v>1</v>
      </c>
    </row>
    <row r="344" spans="12:22" ht="14.4" hidden="1" customHeight="1">
      <c r="L344" s="36">
        <v>339</v>
      </c>
      <c r="M344" s="39">
        <f t="shared" ref="M344:M348" si="67">IF(P344&gt;0,M343+1,M343)</f>
        <v>0</v>
      </c>
      <c r="N344" s="336"/>
      <c r="O344" s="41"/>
      <c r="P344" s="87"/>
      <c r="Q344" s="96"/>
      <c r="R344" s="96"/>
      <c r="S344" s="87"/>
      <c r="T344" s="87"/>
      <c r="U344" s="87"/>
      <c r="V344" s="87"/>
    </row>
    <row r="345" spans="12:22" ht="14.4" hidden="1" customHeight="1">
      <c r="L345" s="36">
        <v>340</v>
      </c>
      <c r="M345" s="39">
        <f t="shared" si="67"/>
        <v>0</v>
      </c>
      <c r="N345" s="336"/>
      <c r="O345" s="41"/>
      <c r="P345" s="87"/>
      <c r="Q345" s="96"/>
      <c r="R345" s="96"/>
      <c r="S345" s="87"/>
      <c r="T345" s="87"/>
      <c r="U345" s="87"/>
      <c r="V345" s="87"/>
    </row>
    <row r="346" spans="12:22" ht="14.4" hidden="1" customHeight="1">
      <c r="L346" s="36">
        <v>341</v>
      </c>
      <c r="M346" s="39">
        <f t="shared" si="67"/>
        <v>0</v>
      </c>
      <c r="N346" s="336"/>
      <c r="O346" s="41"/>
      <c r="P346" s="87"/>
      <c r="Q346" s="96"/>
      <c r="R346" s="96"/>
      <c r="S346" s="87"/>
      <c r="T346" s="87"/>
      <c r="U346" s="87"/>
      <c r="V346" s="87"/>
    </row>
    <row r="347" spans="12:22" ht="14.4" hidden="1" customHeight="1">
      <c r="L347" s="36">
        <v>342</v>
      </c>
      <c r="M347" s="39">
        <f t="shared" si="67"/>
        <v>0</v>
      </c>
      <c r="N347" s="336"/>
      <c r="O347" s="41"/>
      <c r="P347" s="87"/>
      <c r="Q347" s="96"/>
      <c r="R347" s="96"/>
      <c r="S347" s="87"/>
      <c r="T347" s="87"/>
      <c r="U347" s="87"/>
      <c r="V347" s="87"/>
    </row>
    <row r="348" spans="12:22" ht="14.4" hidden="1" customHeight="1">
      <c r="L348" s="36">
        <v>343</v>
      </c>
      <c r="M348" s="39">
        <f t="shared" si="67"/>
        <v>0</v>
      </c>
      <c r="N348" s="6" t="s">
        <v>69</v>
      </c>
      <c r="O348" s="41"/>
      <c r="P348" s="39">
        <f>TOOLS!H9</f>
        <v>0</v>
      </c>
      <c r="Q348" s="95">
        <f>TOOLS!I9</f>
        <v>149.49</v>
      </c>
      <c r="R348" s="95">
        <f>TOOLS!J9</f>
        <v>0</v>
      </c>
      <c r="S348" s="39">
        <f>TOOLS!D9</f>
        <v>2810014100</v>
      </c>
      <c r="T348" s="39" t="str">
        <f>TOOLS!E9</f>
        <v>3/4" - 2"</v>
      </c>
      <c r="U348" s="39" t="str">
        <f>TOOLS!F9</f>
        <v>PF Series - Metal</v>
      </c>
      <c r="V348" s="39">
        <v>1</v>
      </c>
    </row>
    <row r="349" spans="12:22" ht="14.4" hidden="1" customHeight="1">
      <c r="L349" s="36">
        <v>344</v>
      </c>
      <c r="M349" s="39">
        <f t="shared" si="63"/>
        <v>0</v>
      </c>
      <c r="N349" s="6" t="s">
        <v>69</v>
      </c>
      <c r="O349" s="41"/>
      <c r="P349" s="39">
        <f>TOOLS!H10</f>
        <v>0</v>
      </c>
      <c r="Q349" s="95">
        <f>TOOLS!I10</f>
        <v>709.83</v>
      </c>
      <c r="R349" s="95">
        <f>TOOLS!J10</f>
        <v>0</v>
      </c>
      <c r="S349" s="39">
        <f>TOOLS!D10</f>
        <v>2810084100</v>
      </c>
      <c r="T349" s="39" t="str">
        <f>TOOLS!E10</f>
        <v>2 1/2" - 3"</v>
      </c>
      <c r="U349" s="39" t="str">
        <f>TOOLS!F10</f>
        <v>2 handle deburrer</v>
      </c>
      <c r="V349" s="39">
        <v>1</v>
      </c>
    </row>
    <row r="350" spans="12:22" ht="14.4" hidden="1" customHeight="1">
      <c r="L350" s="36">
        <v>345</v>
      </c>
      <c r="M350" s="39"/>
      <c r="N350" s="336"/>
      <c r="O350" s="41"/>
      <c r="P350" s="87"/>
      <c r="Q350" s="96"/>
      <c r="R350" s="96"/>
      <c r="S350" s="87"/>
      <c r="T350" s="87"/>
      <c r="U350" s="87"/>
      <c r="V350" s="87"/>
    </row>
    <row r="351" spans="12:22" ht="14.4" hidden="1" customHeight="1">
      <c r="L351" s="36">
        <v>346</v>
      </c>
      <c r="M351" s="39"/>
      <c r="N351" s="336"/>
      <c r="O351" s="41"/>
      <c r="P351" s="87"/>
      <c r="Q351" s="96"/>
      <c r="R351" s="96"/>
      <c r="S351" s="87"/>
      <c r="T351" s="87"/>
      <c r="U351" s="87"/>
      <c r="V351" s="87"/>
    </row>
    <row r="352" spans="12:22" ht="14.4" hidden="1" customHeight="1">
      <c r="L352" s="36">
        <v>347</v>
      </c>
      <c r="M352" s="39">
        <f>IF(P352&gt;0,M349+1,M349)</f>
        <v>0</v>
      </c>
      <c r="N352" s="6" t="s">
        <v>1839</v>
      </c>
      <c r="O352" s="41"/>
      <c r="P352" s="39">
        <f>TOOLS!H13</f>
        <v>0</v>
      </c>
      <c r="Q352" s="95">
        <f>TOOLS!I13</f>
        <v>25.6</v>
      </c>
      <c r="R352" s="95">
        <f>TOOLS!J13</f>
        <v>0</v>
      </c>
      <c r="S352" s="39">
        <f>TOOLS!D13</f>
        <v>2810004200</v>
      </c>
      <c r="T352" s="39" t="str">
        <f>TOOLS!E13</f>
        <v>3/4" - 4"</v>
      </c>
      <c r="U352" s="39" t="str">
        <f>TOOLS!F13</f>
        <v>Used to debur quick drop holes</v>
      </c>
      <c r="V352" s="39">
        <v>1</v>
      </c>
    </row>
    <row r="353" spans="12:22" ht="14.4" hidden="1" customHeight="1">
      <c r="L353" s="36">
        <v>348</v>
      </c>
      <c r="M353" s="39">
        <f t="shared" ref="M353:M400" si="68">IF(P353&gt;0,M352+1,M352)</f>
        <v>0</v>
      </c>
      <c r="N353" s="6" t="s">
        <v>1839</v>
      </c>
      <c r="O353" s="41"/>
      <c r="P353" s="39">
        <f>TOOLS!H14</f>
        <v>0</v>
      </c>
      <c r="Q353" s="95">
        <f>TOOLS!I14</f>
        <v>28.28</v>
      </c>
      <c r="R353" s="95">
        <f>TOOLS!J14</f>
        <v>0</v>
      </c>
      <c r="S353" s="39">
        <f>TOOLS!D14</f>
        <v>2810064100</v>
      </c>
      <c r="T353" s="39" t="str">
        <f>TOOLS!E14</f>
        <v>2" - 6"</v>
      </c>
      <c r="U353" s="39" t="str">
        <f>TOOLS!F14</f>
        <v>Used to debur quick drop holes &amp; Large Pipe</v>
      </c>
      <c r="V353" s="39">
        <v>1</v>
      </c>
    </row>
    <row r="354" spans="12:22" ht="14.4" hidden="1" customHeight="1">
      <c r="L354" s="36">
        <v>349</v>
      </c>
      <c r="M354" s="39">
        <f t="shared" si="68"/>
        <v>0</v>
      </c>
      <c r="N354" s="336"/>
      <c r="O354" s="41"/>
      <c r="P354" s="87">
        <f>TOOLS!H15</f>
        <v>0</v>
      </c>
      <c r="Q354" s="96"/>
      <c r="R354" s="96"/>
      <c r="S354" s="87">
        <f>TOOLS!D15</f>
        <v>0</v>
      </c>
      <c r="T354" s="87">
        <f>TOOLS!E15</f>
        <v>0</v>
      </c>
      <c r="U354" s="87">
        <f>TOOLS!F15</f>
        <v>0</v>
      </c>
      <c r="V354" s="87"/>
    </row>
    <row r="355" spans="12:22" ht="14.4" hidden="1" customHeight="1">
      <c r="L355" s="36">
        <v>350</v>
      </c>
      <c r="M355" s="39">
        <f t="shared" si="68"/>
        <v>0</v>
      </c>
      <c r="N355" s="336"/>
      <c r="O355" s="41"/>
      <c r="P355" s="87">
        <f>TOOLS!H16</f>
        <v>0</v>
      </c>
      <c r="Q355" s="96"/>
      <c r="R355" s="96"/>
      <c r="S355" s="87">
        <f>TOOLS!D16</f>
        <v>0</v>
      </c>
      <c r="T355" s="87">
        <f>TOOLS!E16</f>
        <v>0</v>
      </c>
      <c r="U355" s="87"/>
      <c r="V355" s="87"/>
    </row>
    <row r="356" spans="12:22" ht="14.4" hidden="1" customHeight="1">
      <c r="L356" s="36">
        <v>351</v>
      </c>
      <c r="M356" s="39">
        <f t="shared" si="68"/>
        <v>0</v>
      </c>
      <c r="N356" s="336"/>
      <c r="O356" s="41"/>
      <c r="P356" s="87"/>
      <c r="Q356" s="96"/>
      <c r="R356" s="96"/>
      <c r="S356" s="87"/>
      <c r="T356" s="87"/>
      <c r="U356" s="87"/>
      <c r="V356" s="87"/>
    </row>
    <row r="357" spans="12:22" ht="14.4" hidden="1" customHeight="1">
      <c r="L357" s="36">
        <v>352</v>
      </c>
      <c r="M357" s="39">
        <f t="shared" si="68"/>
        <v>0</v>
      </c>
      <c r="N357" s="6" t="s">
        <v>76</v>
      </c>
      <c r="O357" s="41"/>
      <c r="P357" s="39">
        <f>TOOLS!H18</f>
        <v>0</v>
      </c>
      <c r="Q357" s="95">
        <f>TOOLS!I18</f>
        <v>9.2200000000000006</v>
      </c>
      <c r="R357" s="95">
        <f>TOOLS!J18</f>
        <v>0</v>
      </c>
      <c r="S357" s="39">
        <f>TOOLS!D18</f>
        <v>2810014300</v>
      </c>
      <c r="T357" s="39" t="str">
        <f>TOOLS!E18</f>
        <v>14mm / 9/16"</v>
      </c>
      <c r="U357" s="39" t="str">
        <f>TOOLS!F18</f>
        <v xml:space="preserve">PF Series 1" </v>
      </c>
      <c r="V357" s="39">
        <v>1</v>
      </c>
    </row>
    <row r="358" spans="12:22" ht="14.4" hidden="1" customHeight="1">
      <c r="L358" s="36">
        <v>353</v>
      </c>
      <c r="M358" s="39">
        <f t="shared" si="68"/>
        <v>0</v>
      </c>
      <c r="N358" s="6" t="s">
        <v>76</v>
      </c>
      <c r="O358" s="41"/>
      <c r="P358" s="39">
        <f>TOOLS!H19</f>
        <v>0</v>
      </c>
      <c r="Q358" s="95">
        <f>TOOLS!I19</f>
        <v>6.21</v>
      </c>
      <c r="R358" s="95">
        <f>TOOLS!J19</f>
        <v>0</v>
      </c>
      <c r="S358" s="39">
        <f>TOOLS!D19</f>
        <v>2810024300</v>
      </c>
      <c r="T358" s="39" t="str">
        <f>TOOLS!E19</f>
        <v>24mm / 1"</v>
      </c>
      <c r="U358" s="39" t="str">
        <f>TOOLS!F19</f>
        <v>PF Series 1 1/2" - 3"</v>
      </c>
      <c r="V358" s="39">
        <v>1</v>
      </c>
    </row>
    <row r="359" spans="12:22" ht="14.4" hidden="1" customHeight="1">
      <c r="L359" s="36">
        <v>354</v>
      </c>
      <c r="M359" s="39">
        <f t="shared" si="68"/>
        <v>0</v>
      </c>
      <c r="N359" s="336"/>
      <c r="O359" s="41"/>
      <c r="P359" s="87"/>
      <c r="Q359" s="96"/>
      <c r="R359" s="96"/>
      <c r="S359" s="87"/>
      <c r="T359" s="87"/>
      <c r="U359" s="87"/>
      <c r="V359" s="87"/>
    </row>
    <row r="360" spans="12:22" ht="14.4" hidden="1" customHeight="1">
      <c r="L360" s="36">
        <v>355</v>
      </c>
      <c r="M360" s="39">
        <f t="shared" si="68"/>
        <v>0</v>
      </c>
      <c r="N360" s="336"/>
      <c r="O360" s="41"/>
      <c r="P360" s="87"/>
      <c r="Q360" s="96"/>
      <c r="R360" s="96"/>
      <c r="S360" s="87"/>
      <c r="T360" s="87"/>
      <c r="U360" s="87"/>
      <c r="V360" s="87"/>
    </row>
    <row r="361" spans="12:22" ht="14.4" hidden="1" customHeight="1">
      <c r="L361" s="36">
        <v>356</v>
      </c>
      <c r="M361" s="39">
        <f t="shared" si="68"/>
        <v>0</v>
      </c>
      <c r="N361" s="336"/>
      <c r="O361" s="41"/>
      <c r="P361" s="87"/>
      <c r="Q361" s="96"/>
      <c r="R361" s="96"/>
      <c r="S361" s="87"/>
      <c r="T361" s="87"/>
      <c r="U361" s="87"/>
      <c r="V361" s="87"/>
    </row>
    <row r="362" spans="12:22" ht="14.4" hidden="1" customHeight="1">
      <c r="L362" s="36">
        <v>357</v>
      </c>
      <c r="M362" s="39">
        <f t="shared" si="68"/>
        <v>0</v>
      </c>
      <c r="N362" s="6" t="s">
        <v>410</v>
      </c>
      <c r="O362" s="41"/>
      <c r="P362" s="39">
        <f>TOOLS!H23</f>
        <v>0</v>
      </c>
      <c r="Q362" s="95">
        <f>TOOLS!I23</f>
        <v>10.71</v>
      </c>
      <c r="R362" s="95">
        <f>TOOLS!J23</f>
        <v>0</v>
      </c>
      <c r="S362" s="39">
        <f>TOOLS!D23</f>
        <v>2810004400</v>
      </c>
      <c r="T362" s="39" t="str">
        <f>TOOLS!E23</f>
        <v>1" - 3"</v>
      </c>
      <c r="U362" s="39">
        <f>TOOLS!F23</f>
        <v>0</v>
      </c>
      <c r="V362" s="39">
        <v>1</v>
      </c>
    </row>
    <row r="363" spans="12:22" ht="14.4" hidden="1" customHeight="1">
      <c r="L363" s="36">
        <v>358</v>
      </c>
      <c r="M363" s="39">
        <f t="shared" si="68"/>
        <v>0</v>
      </c>
      <c r="N363" s="336"/>
      <c r="O363" s="41"/>
      <c r="P363" s="87"/>
      <c r="Q363" s="96"/>
      <c r="R363" s="96"/>
      <c r="S363" s="87"/>
      <c r="T363" s="87"/>
      <c r="U363" s="87"/>
      <c r="V363" s="87"/>
    </row>
    <row r="364" spans="12:22" ht="14.4" hidden="1" customHeight="1">
      <c r="L364" s="36">
        <v>359</v>
      </c>
      <c r="M364" s="39">
        <f t="shared" si="68"/>
        <v>0</v>
      </c>
      <c r="N364" s="336"/>
      <c r="O364" s="41"/>
      <c r="P364" s="87"/>
      <c r="Q364" s="96"/>
      <c r="R364" s="96"/>
      <c r="S364" s="87"/>
      <c r="T364" s="87"/>
      <c r="U364" s="87"/>
      <c r="V364" s="87"/>
    </row>
    <row r="365" spans="12:22" ht="14.4" hidden="1" customHeight="1">
      <c r="L365" s="36">
        <v>360</v>
      </c>
      <c r="M365" s="39">
        <f t="shared" si="68"/>
        <v>0</v>
      </c>
      <c r="N365" s="6" t="s">
        <v>73</v>
      </c>
      <c r="O365" s="41"/>
      <c r="P365" s="39">
        <f>TOOLS!H26</f>
        <v>0</v>
      </c>
      <c r="Q365" s="95">
        <f>TOOLS!I26</f>
        <v>1.54</v>
      </c>
      <c r="R365" s="95">
        <f>TOOLS!J26</f>
        <v>0</v>
      </c>
      <c r="S365" s="39">
        <f>TOOLS!D26</f>
        <v>2811014900</v>
      </c>
      <c r="T365" s="39">
        <f>TOOLS!E26</f>
        <v>0</v>
      </c>
      <c r="U365" s="39">
        <f>TOOLS!F26</f>
        <v>0</v>
      </c>
      <c r="V365" s="39">
        <v>1</v>
      </c>
    </row>
    <row r="366" spans="12:22" ht="14.4" hidden="1" customHeight="1">
      <c r="L366" s="36">
        <v>361</v>
      </c>
      <c r="M366" s="39">
        <f t="shared" si="68"/>
        <v>0</v>
      </c>
      <c r="N366" s="18"/>
      <c r="O366" s="41"/>
      <c r="P366" s="87"/>
      <c r="Q366" s="96"/>
      <c r="R366" s="96"/>
      <c r="S366" s="87"/>
      <c r="T366" s="87"/>
      <c r="U366" s="87"/>
      <c r="V366" s="87"/>
    </row>
    <row r="367" spans="12:22" ht="14.4" hidden="1" customHeight="1">
      <c r="L367" s="36">
        <v>362</v>
      </c>
      <c r="M367" s="39">
        <f t="shared" si="68"/>
        <v>0</v>
      </c>
      <c r="N367" s="336"/>
      <c r="O367" s="41"/>
      <c r="P367" s="87"/>
      <c r="Q367" s="96"/>
      <c r="R367" s="96"/>
      <c r="S367" s="87"/>
      <c r="T367" s="87"/>
      <c r="U367" s="87"/>
      <c r="V367" s="87"/>
    </row>
    <row r="368" spans="12:22" ht="14.4" hidden="1" customHeight="1">
      <c r="L368" s="36">
        <v>363</v>
      </c>
      <c r="M368" s="39">
        <f t="shared" si="68"/>
        <v>0</v>
      </c>
      <c r="N368" s="336"/>
      <c r="O368" s="41"/>
      <c r="P368" s="87"/>
      <c r="Q368" s="96"/>
      <c r="R368" s="96"/>
      <c r="S368" s="87"/>
      <c r="T368" s="87"/>
      <c r="U368" s="87"/>
      <c r="V368" s="87"/>
    </row>
    <row r="369" spans="12:22" ht="14.4" hidden="1" customHeight="1">
      <c r="L369" s="36">
        <v>364</v>
      </c>
      <c r="M369" s="39">
        <f t="shared" si="68"/>
        <v>0</v>
      </c>
      <c r="N369" s="6" t="s">
        <v>74</v>
      </c>
      <c r="O369" s="41"/>
      <c r="P369" s="39">
        <f>TOOLS!H30</f>
        <v>0</v>
      </c>
      <c r="Q369" s="95">
        <f>TOOLS!I30</f>
        <v>180.31</v>
      </c>
      <c r="R369" s="95">
        <f>TOOLS!J30</f>
        <v>0</v>
      </c>
      <c r="S369" s="39">
        <f>TOOLS!D30</f>
        <v>2810004000</v>
      </c>
      <c r="T369" s="39" t="str">
        <f>TOOLS!E30</f>
        <v>3/4" - 1 1/2"</v>
      </c>
      <c r="U369" s="39">
        <f>TOOLS!F30</f>
        <v>0</v>
      </c>
      <c r="V369" s="39">
        <v>1</v>
      </c>
    </row>
    <row r="370" spans="12:22" ht="14.4" hidden="1" customHeight="1">
      <c r="L370" s="36">
        <v>365</v>
      </c>
      <c r="M370" s="39">
        <f t="shared" si="68"/>
        <v>0</v>
      </c>
      <c r="N370" s="6" t="s">
        <v>74</v>
      </c>
      <c r="O370" s="41"/>
      <c r="P370" s="39">
        <f>TOOLS!H31</f>
        <v>0</v>
      </c>
      <c r="Q370" s="95">
        <f>TOOLS!I31</f>
        <v>207.78</v>
      </c>
      <c r="R370" s="95">
        <f>TOOLS!J31</f>
        <v>0</v>
      </c>
      <c r="S370" s="39">
        <f>TOOLS!D31</f>
        <v>2810014000</v>
      </c>
      <c r="T370" s="39" t="str">
        <f>TOOLS!E31</f>
        <v>2"- 3"</v>
      </c>
      <c r="U370" s="39">
        <f>TOOLS!F31</f>
        <v>0</v>
      </c>
      <c r="V370" s="39">
        <v>1</v>
      </c>
    </row>
    <row r="371" spans="12:22" ht="14.4" hidden="1" customHeight="1">
      <c r="L371" s="36">
        <v>366</v>
      </c>
      <c r="M371" s="39">
        <f t="shared" si="68"/>
        <v>0</v>
      </c>
      <c r="N371" s="6" t="s">
        <v>74</v>
      </c>
      <c r="O371" s="41"/>
      <c r="P371" s="39">
        <f>TOOLS!H32</f>
        <v>0</v>
      </c>
      <c r="Q371" s="95">
        <f>TOOLS!I32</f>
        <v>314.42</v>
      </c>
      <c r="R371" s="95">
        <f>TOOLS!J32</f>
        <v>0</v>
      </c>
      <c r="S371" s="39">
        <f>TOOLS!D32</f>
        <v>2810024000</v>
      </c>
      <c r="T371" s="39" t="str">
        <f>TOOLS!E32</f>
        <v>4"- 6"</v>
      </c>
      <c r="U371" s="39">
        <f>TOOLS!F32</f>
        <v>0</v>
      </c>
      <c r="V371" s="39">
        <v>1</v>
      </c>
    </row>
    <row r="372" spans="12:22" ht="14.4" hidden="1" customHeight="1">
      <c r="L372" s="36">
        <v>367</v>
      </c>
      <c r="M372" s="39">
        <f t="shared" si="68"/>
        <v>0</v>
      </c>
      <c r="N372" s="6" t="s">
        <v>74</v>
      </c>
      <c r="O372" s="41"/>
      <c r="P372" s="39">
        <f>TOOLS!H33</f>
        <v>0</v>
      </c>
      <c r="Q372" s="95">
        <f>TOOLS!I33</f>
        <v>1070.6300000000001</v>
      </c>
      <c r="R372" s="95">
        <f>TOOLS!J33</f>
        <v>0</v>
      </c>
      <c r="S372" s="39">
        <f>TOOLS!D33</f>
        <v>2810064080</v>
      </c>
      <c r="T372" s="39" t="str">
        <f>TOOLS!E33</f>
        <v>110V Electric</v>
      </c>
      <c r="U372" s="39" t="str">
        <f>TOOLS!F33</f>
        <v>All sizes - 3/4" - 6"</v>
      </c>
      <c r="V372" s="39">
        <v>1</v>
      </c>
    </row>
    <row r="373" spans="12:22" ht="14.4" hidden="1" customHeight="1">
      <c r="L373" s="36">
        <v>368</v>
      </c>
      <c r="M373" s="39">
        <f t="shared" si="68"/>
        <v>0</v>
      </c>
      <c r="N373" s="336"/>
      <c r="O373" s="41"/>
      <c r="P373" s="87"/>
      <c r="Q373" s="96"/>
      <c r="R373" s="96"/>
      <c r="S373" s="87"/>
      <c r="T373" s="87"/>
      <c r="U373" s="87"/>
      <c r="V373" s="87"/>
    </row>
    <row r="374" spans="12:22" ht="14.4" hidden="1" customHeight="1">
      <c r="L374" s="36">
        <v>369</v>
      </c>
      <c r="M374" s="39">
        <f t="shared" si="68"/>
        <v>0</v>
      </c>
      <c r="N374" s="336"/>
      <c r="O374" s="41"/>
      <c r="P374" s="87"/>
      <c r="Q374" s="96"/>
      <c r="R374" s="96"/>
      <c r="S374" s="87"/>
      <c r="T374" s="87"/>
      <c r="U374" s="87"/>
      <c r="V374" s="87"/>
    </row>
    <row r="375" spans="12:22" ht="14.4" hidden="1" customHeight="1">
      <c r="L375" s="36">
        <v>370</v>
      </c>
      <c r="M375" s="39">
        <f t="shared" si="68"/>
        <v>0</v>
      </c>
      <c r="N375" s="6" t="s">
        <v>408</v>
      </c>
      <c r="O375" s="41"/>
      <c r="P375" s="39">
        <f>TOOLS!H36</f>
        <v>0</v>
      </c>
      <c r="Q375" s="95">
        <f>TOOLS!I36</f>
        <v>14.74</v>
      </c>
      <c r="R375" s="95">
        <f>TOOLS!J36</f>
        <v>0</v>
      </c>
      <c r="S375" s="39">
        <f>TOOLS!D36</f>
        <v>2810014800</v>
      </c>
      <c r="T375" s="39">
        <f>TOOLS!E36</f>
        <v>0</v>
      </c>
      <c r="U375" s="39" t="str">
        <f>TOOLS!F36</f>
        <v>1/2 liter bottle</v>
      </c>
      <c r="V375" s="39">
        <v>1</v>
      </c>
    </row>
    <row r="376" spans="12:22" ht="14.4" hidden="1" customHeight="1">
      <c r="L376" s="36">
        <v>371</v>
      </c>
      <c r="M376" s="39">
        <f t="shared" si="68"/>
        <v>0</v>
      </c>
      <c r="N376" s="6" t="s">
        <v>408</v>
      </c>
      <c r="O376" s="41"/>
      <c r="P376" s="39">
        <f>TOOLS!H37</f>
        <v>0</v>
      </c>
      <c r="Q376" s="95">
        <f>TOOLS!I37</f>
        <v>521.83000000000004</v>
      </c>
      <c r="R376" s="95">
        <f>TOOLS!J37</f>
        <v>0</v>
      </c>
      <c r="S376" s="39">
        <f>TOOLS!D37</f>
        <v>1312100945</v>
      </c>
      <c r="T376" s="39">
        <f>TOOLS!E37</f>
        <v>0</v>
      </c>
      <c r="U376" s="39" t="str">
        <f>TOOLS!F37</f>
        <v>4 liter bottles (Qty - 4)</v>
      </c>
      <c r="V376" s="39">
        <v>1</v>
      </c>
    </row>
    <row r="377" spans="12:22" ht="14.4" hidden="1" customHeight="1">
      <c r="L377" s="36">
        <v>372</v>
      </c>
      <c r="M377" s="39">
        <f t="shared" si="68"/>
        <v>0</v>
      </c>
      <c r="N377" s="336"/>
      <c r="O377" s="41"/>
      <c r="P377" s="87"/>
      <c r="Q377" s="96"/>
      <c r="R377" s="96"/>
      <c r="S377" s="87"/>
      <c r="T377" s="87"/>
      <c r="U377" s="87"/>
      <c r="V377" s="87"/>
    </row>
    <row r="378" spans="12:22" ht="14.4" hidden="1" customHeight="1">
      <c r="L378" s="36">
        <v>373</v>
      </c>
      <c r="M378" s="39">
        <f t="shared" si="68"/>
        <v>0</v>
      </c>
      <c r="N378" s="336"/>
      <c r="O378" s="41"/>
      <c r="P378" s="87"/>
      <c r="Q378" s="96"/>
      <c r="R378" s="96"/>
      <c r="S378" s="87"/>
      <c r="T378" s="87"/>
      <c r="U378" s="87"/>
      <c r="V378" s="87"/>
    </row>
    <row r="379" spans="12:22" ht="14.4" hidden="1" customHeight="1">
      <c r="L379" s="36">
        <v>374</v>
      </c>
      <c r="M379" s="39">
        <f t="shared" si="68"/>
        <v>0</v>
      </c>
      <c r="N379" s="336"/>
      <c r="O379" s="41"/>
      <c r="P379" s="87"/>
      <c r="Q379" s="96"/>
      <c r="R379" s="96"/>
      <c r="S379" s="87"/>
      <c r="T379" s="87"/>
      <c r="U379" s="87"/>
      <c r="V379" s="87"/>
    </row>
    <row r="380" spans="12:22" ht="14.4" hidden="1" customHeight="1">
      <c r="L380" s="36">
        <v>375</v>
      </c>
      <c r="M380" s="39">
        <f t="shared" si="68"/>
        <v>0</v>
      </c>
      <c r="N380" s="336"/>
      <c r="O380" s="41"/>
      <c r="P380" s="87"/>
      <c r="Q380" s="96"/>
      <c r="R380" s="96"/>
      <c r="S380" s="87"/>
      <c r="T380" s="87"/>
      <c r="U380" s="87"/>
      <c r="V380" s="87"/>
    </row>
    <row r="381" spans="12:22" ht="14.4" hidden="1" customHeight="1">
      <c r="L381" s="36">
        <v>376</v>
      </c>
      <c r="M381" s="39">
        <f t="shared" si="68"/>
        <v>0</v>
      </c>
      <c r="N381" s="6" t="s">
        <v>1837</v>
      </c>
      <c r="O381" s="41"/>
      <c r="P381" s="39">
        <f>TOOLS!H42</f>
        <v>0</v>
      </c>
      <c r="Q381" s="95">
        <f>TOOLS!I42</f>
        <v>6.74</v>
      </c>
      <c r="R381" s="95">
        <f>TOOLS!J42</f>
        <v>0</v>
      </c>
      <c r="S381" s="39">
        <f>TOOLS!D42</f>
        <v>2811102800</v>
      </c>
      <c r="T381" s="39" t="str">
        <f>TOOLS!E42</f>
        <v xml:space="preserve">20 / ¾" </v>
      </c>
      <c r="U381" s="39" t="str">
        <f>TOOLS!F42</f>
        <v>Push to connect (only use when disassembling)</v>
      </c>
      <c r="V381" s="39">
        <v>1</v>
      </c>
    </row>
    <row r="382" spans="12:22" ht="14.4" hidden="1" customHeight="1">
      <c r="L382" s="36">
        <v>377</v>
      </c>
      <c r="M382" s="39">
        <f t="shared" si="68"/>
        <v>0</v>
      </c>
      <c r="N382" s="6" t="s">
        <v>1837</v>
      </c>
      <c r="O382" s="41"/>
      <c r="P382" s="39">
        <f>TOOLS!H43</f>
        <v>0</v>
      </c>
      <c r="Q382" s="95">
        <f>TOOLS!I43</f>
        <v>6.86</v>
      </c>
      <c r="R382" s="95">
        <f>TOOLS!J43</f>
        <v>0</v>
      </c>
      <c r="S382" s="39">
        <f>TOOLS!D43</f>
        <v>2811202800</v>
      </c>
      <c r="T382" s="39" t="str">
        <f>TOOLS!E43</f>
        <v xml:space="preserve">25 / 1" </v>
      </c>
      <c r="U382" s="39" t="str">
        <f>TOOLS!F43</f>
        <v>Push to connect (only use when disassembling)</v>
      </c>
      <c r="V382" s="39">
        <v>1</v>
      </c>
    </row>
    <row r="383" spans="12:22" ht="14.4" hidden="1" customHeight="1">
      <c r="L383" s="36">
        <v>378</v>
      </c>
      <c r="M383" s="39">
        <f t="shared" si="68"/>
        <v>0</v>
      </c>
      <c r="N383" s="6" t="s">
        <v>1837</v>
      </c>
      <c r="O383" s="41"/>
      <c r="P383" s="39">
        <f>TOOLS!H44</f>
        <v>0</v>
      </c>
      <c r="Q383" s="95">
        <f>TOOLS!I44</f>
        <v>36.25</v>
      </c>
      <c r="R383" s="95">
        <f>TOOLS!J44</f>
        <v>0</v>
      </c>
      <c r="S383" s="39">
        <f>TOOLS!D44</f>
        <v>2811402800</v>
      </c>
      <c r="T383" s="39" t="str">
        <f>TOOLS!E44</f>
        <v xml:space="preserve">40 / 1½" </v>
      </c>
      <c r="U383" s="39" t="str">
        <f>TOOLS!F44</f>
        <v>Push to connect (only use when disassembling)</v>
      </c>
      <c r="V383" s="39">
        <v>1</v>
      </c>
    </row>
    <row r="384" spans="12:22" ht="14.4" hidden="1" customHeight="1">
      <c r="L384" s="36">
        <v>379</v>
      </c>
      <c r="M384" s="39">
        <f t="shared" si="68"/>
        <v>0</v>
      </c>
      <c r="N384" s="6" t="s">
        <v>1837</v>
      </c>
      <c r="O384" s="41"/>
      <c r="P384" s="39">
        <f>TOOLS!H45</f>
        <v>0</v>
      </c>
      <c r="Q384" s="95">
        <f>TOOLS!I45</f>
        <v>39.159999999999997</v>
      </c>
      <c r="R384" s="95">
        <f>TOOLS!J45</f>
        <v>0</v>
      </c>
      <c r="S384" s="39">
        <f>TOOLS!D45</f>
        <v>2811502800</v>
      </c>
      <c r="T384" s="39" t="str">
        <f>TOOLS!E45</f>
        <v xml:space="preserve">50 / 2" </v>
      </c>
      <c r="U384" s="39" t="str">
        <f>TOOLS!F45</f>
        <v>Push to connect (only use when disassembling)</v>
      </c>
      <c r="V384" s="39">
        <v>1</v>
      </c>
    </row>
    <row r="385" spans="12:22" ht="14.4" hidden="1" customHeight="1">
      <c r="L385" s="36">
        <v>380</v>
      </c>
      <c r="M385" s="39">
        <f t="shared" si="68"/>
        <v>0</v>
      </c>
      <c r="N385" s="6" t="s">
        <v>1837</v>
      </c>
      <c r="O385" s="41"/>
      <c r="P385" s="39">
        <f>TOOLS!H46</f>
        <v>0</v>
      </c>
      <c r="Q385" s="95">
        <f>TOOLS!I46</f>
        <v>48.4</v>
      </c>
      <c r="R385" s="95">
        <f>TOOLS!J46</f>
        <v>0</v>
      </c>
      <c r="S385" s="39">
        <f>TOOLS!D46</f>
        <v>2811602890</v>
      </c>
      <c r="T385" s="39" t="str">
        <f>TOOLS!E46</f>
        <v>63 / 2½"</v>
      </c>
      <c r="U385" s="39" t="str">
        <f>TOOLS!F46</f>
        <v>Use on Nut of Fitting (PM Series)</v>
      </c>
      <c r="V385" s="39">
        <v>1</v>
      </c>
    </row>
    <row r="386" spans="12:22" ht="14.4" hidden="1" customHeight="1">
      <c r="L386" s="36">
        <v>381</v>
      </c>
      <c r="M386" s="39">
        <f t="shared" si="68"/>
        <v>0</v>
      </c>
      <c r="N386" s="6" t="s">
        <v>1837</v>
      </c>
      <c r="O386" s="41"/>
      <c r="P386" s="39">
        <f>TOOLS!H47</f>
        <v>0</v>
      </c>
      <c r="Q386" s="95">
        <f>TOOLS!I47</f>
        <v>114.28</v>
      </c>
      <c r="R386" s="95">
        <f>TOOLS!J47</f>
        <v>0</v>
      </c>
      <c r="S386" s="39">
        <f>TOOLS!D47</f>
        <v>2811662890</v>
      </c>
      <c r="T386" s="39" t="str">
        <f>TOOLS!E47</f>
        <v>63 / 2½"</v>
      </c>
      <c r="U386" s="39" t="str">
        <f>TOOLS!F47</f>
        <v>Use on Body of Fitting (PM Series)</v>
      </c>
      <c r="V386" s="39">
        <v>1</v>
      </c>
    </row>
    <row r="387" spans="12:22" ht="14.4" hidden="1" customHeight="1">
      <c r="L387" s="36">
        <v>382</v>
      </c>
      <c r="M387" s="39">
        <f t="shared" si="68"/>
        <v>0</v>
      </c>
      <c r="N387" s="6" t="s">
        <v>1837</v>
      </c>
      <c r="O387" s="41"/>
      <c r="P387" s="39">
        <f>TOOLS!H48</f>
        <v>0</v>
      </c>
      <c r="Q387" s="95">
        <f>TOOLS!I48</f>
        <v>61.13</v>
      </c>
      <c r="R387" s="95">
        <f>TOOLS!J48</f>
        <v>0</v>
      </c>
      <c r="S387" s="39">
        <f>TOOLS!D48</f>
        <v>2811702890</v>
      </c>
      <c r="T387" s="39" t="str">
        <f>TOOLS!E48</f>
        <v>80 / 3"</v>
      </c>
      <c r="U387" s="39" t="str">
        <f>TOOLS!F48</f>
        <v>Use on Nut of Fitting (PM Series)</v>
      </c>
      <c r="V387" s="39">
        <v>1</v>
      </c>
    </row>
    <row r="388" spans="12:22" ht="14.4" hidden="1" customHeight="1">
      <c r="L388" s="36">
        <v>383</v>
      </c>
      <c r="M388" s="39">
        <f t="shared" si="68"/>
        <v>0</v>
      </c>
      <c r="N388" s="6" t="s">
        <v>1837</v>
      </c>
      <c r="O388" s="41"/>
      <c r="P388" s="39">
        <f>TOOLS!H49</f>
        <v>0</v>
      </c>
      <c r="Q388" s="95">
        <f>TOOLS!I49</f>
        <v>96.93</v>
      </c>
      <c r="R388" s="95">
        <f>TOOLS!J49</f>
        <v>0</v>
      </c>
      <c r="S388" s="39">
        <f>TOOLS!D49</f>
        <v>2811772890</v>
      </c>
      <c r="T388" s="39" t="str">
        <f>TOOLS!E49</f>
        <v>80 / 3"
63mm / 2.5" - Adapter Union</v>
      </c>
      <c r="U388" s="39" t="str">
        <f>TOOLS!F49</f>
        <v>Use on Body of 3" Fitting (PM Series) 
&amp; 2 1/2" NPT Union Adapter Fitting.</v>
      </c>
      <c r="V388" s="39">
        <v>1</v>
      </c>
    </row>
    <row r="389" spans="12:22" ht="14.4" hidden="1" customHeight="1">
      <c r="L389" s="36">
        <v>384</v>
      </c>
      <c r="M389" s="39">
        <f t="shared" si="68"/>
        <v>0</v>
      </c>
      <c r="N389" s="6" t="s">
        <v>1837</v>
      </c>
      <c r="O389" s="41"/>
      <c r="P389" s="39">
        <f>TOOLS!H50</f>
        <v>0</v>
      </c>
      <c r="Q389" s="95">
        <f>TOOLS!I50</f>
        <v>81.81</v>
      </c>
      <c r="R389" s="95">
        <f>TOOLS!J50</f>
        <v>0</v>
      </c>
      <c r="S389" s="39">
        <f>TOOLS!D50</f>
        <v>2811772891</v>
      </c>
      <c r="T389" s="39" t="str">
        <f>TOOLS!E50</f>
        <v>80 / 3"</v>
      </c>
      <c r="U389" s="39" t="str">
        <f>TOOLS!F50</f>
        <v xml:space="preserve">3" NPT Adapter Kit </v>
      </c>
      <c r="V389" s="39">
        <v>1</v>
      </c>
    </row>
    <row r="390" spans="12:22" ht="14.4" hidden="1" customHeight="1">
      <c r="L390" s="36">
        <v>385</v>
      </c>
      <c r="M390" s="39">
        <f t="shared" si="68"/>
        <v>0</v>
      </c>
      <c r="N390" s="18"/>
      <c r="O390" s="41"/>
      <c r="P390" s="87"/>
      <c r="Q390" s="96"/>
      <c r="R390" s="96"/>
      <c r="S390" s="87"/>
      <c r="T390" s="87"/>
      <c r="U390" s="87"/>
      <c r="V390" s="87"/>
    </row>
    <row r="391" spans="12:22" ht="14.4" hidden="1" customHeight="1">
      <c r="L391" s="36">
        <v>386</v>
      </c>
      <c r="M391" s="39">
        <f t="shared" si="68"/>
        <v>0</v>
      </c>
      <c r="N391" s="18"/>
      <c r="O391" s="41"/>
      <c r="P391" s="87"/>
      <c r="Q391" s="96"/>
      <c r="R391" s="96"/>
      <c r="S391" s="87"/>
      <c r="T391" s="87"/>
      <c r="U391" s="87"/>
      <c r="V391" s="87"/>
    </row>
    <row r="392" spans="12:22" ht="14.4" hidden="1" customHeight="1">
      <c r="L392" s="36">
        <v>387</v>
      </c>
      <c r="M392" s="39">
        <f t="shared" si="68"/>
        <v>0</v>
      </c>
      <c r="N392" s="6" t="s">
        <v>1120</v>
      </c>
      <c r="O392" s="41"/>
      <c r="P392" s="39">
        <f>TOOLS!H53</f>
        <v>0</v>
      </c>
      <c r="Q392" s="95">
        <f>TOOLS!I53</f>
        <v>59.9</v>
      </c>
      <c r="R392" s="95">
        <f>TOOLS!J53</f>
        <v>0</v>
      </c>
      <c r="S392" s="39">
        <f>TOOLS!D53</f>
        <v>2810802800</v>
      </c>
      <c r="T392" s="39" t="str">
        <f>TOOLS!E53</f>
        <v>40 / 1½" - 80 / 3"</v>
      </c>
      <c r="U392" s="39" t="str">
        <f>TOOLS!F53</f>
        <v>Optional / Alternative</v>
      </c>
      <c r="V392" s="39">
        <v>1</v>
      </c>
    </row>
    <row r="393" spans="12:22" ht="14.4" hidden="1" customHeight="1">
      <c r="L393" s="36">
        <v>388</v>
      </c>
      <c r="M393" s="39">
        <f t="shared" si="68"/>
        <v>0</v>
      </c>
      <c r="N393" s="336"/>
      <c r="O393" s="41"/>
      <c r="P393" s="87"/>
      <c r="Q393" s="96"/>
      <c r="R393" s="96"/>
      <c r="S393" s="87"/>
      <c r="T393" s="87"/>
      <c r="U393" s="87"/>
      <c r="V393" s="87"/>
    </row>
    <row r="394" spans="12:22" ht="14.4" hidden="1" customHeight="1">
      <c r="L394" s="36">
        <v>389</v>
      </c>
      <c r="M394" s="39">
        <f t="shared" si="68"/>
        <v>0</v>
      </c>
      <c r="N394" s="18"/>
      <c r="O394" s="41"/>
      <c r="P394" s="87"/>
      <c r="Q394" s="96"/>
      <c r="R394" s="96"/>
      <c r="S394" s="87"/>
      <c r="T394" s="87"/>
      <c r="U394" s="87"/>
      <c r="V394" s="87"/>
    </row>
    <row r="395" spans="12:22" ht="14.4" hidden="1" customHeight="1">
      <c r="L395" s="36">
        <v>390</v>
      </c>
      <c r="M395" s="39">
        <f t="shared" si="68"/>
        <v>0</v>
      </c>
      <c r="N395" s="6" t="s">
        <v>1838</v>
      </c>
      <c r="O395" s="41"/>
      <c r="P395" s="39">
        <f>TOOLS!H56</f>
        <v>0</v>
      </c>
      <c r="Q395" s="95">
        <f>TOOLS!I56</f>
        <v>75.67</v>
      </c>
      <c r="R395" s="95">
        <f>TOOLS!J56</f>
        <v>0</v>
      </c>
      <c r="S395" s="39">
        <f>TOOLS!D56</f>
        <v>4027132308</v>
      </c>
      <c r="T395" s="39" t="str">
        <f>TOOLS!E56</f>
        <v>100 / 4"</v>
      </c>
      <c r="U395" s="39" t="str">
        <f>TOOLS!F56</f>
        <v>Hex Drive Socket - 8mm</v>
      </c>
      <c r="V395" s="39">
        <v>1</v>
      </c>
    </row>
    <row r="396" spans="12:22" ht="14.4" hidden="1" customHeight="1">
      <c r="L396" s="36">
        <v>391</v>
      </c>
      <c r="M396" s="39">
        <f t="shared" si="68"/>
        <v>0</v>
      </c>
      <c r="N396" s="6" t="s">
        <v>1838</v>
      </c>
      <c r="O396" s="41"/>
      <c r="P396" s="39">
        <f>TOOLS!H57</f>
        <v>0</v>
      </c>
      <c r="Q396" s="95">
        <f>TOOLS!I57</f>
        <v>14.73</v>
      </c>
      <c r="R396" s="95">
        <f>TOOLS!J57</f>
        <v>0</v>
      </c>
      <c r="S396" s="39">
        <f>TOOLS!D57</f>
        <v>462360123</v>
      </c>
      <c r="T396" s="39" t="str">
        <f>TOOLS!E57</f>
        <v>158 / 6"</v>
      </c>
      <c r="U396" s="39" t="str">
        <f>TOOLS!F57</f>
        <v>Hex Drive Socket - 10mm</v>
      </c>
      <c r="V396" s="39">
        <v>1</v>
      </c>
    </row>
    <row r="397" spans="12:22" ht="14.4" hidden="1" customHeight="1">
      <c r="L397" s="36">
        <v>392</v>
      </c>
      <c r="M397" s="39">
        <f t="shared" si="68"/>
        <v>0</v>
      </c>
      <c r="N397" s="18"/>
      <c r="O397" s="41"/>
      <c r="P397" s="87"/>
      <c r="Q397" s="96"/>
      <c r="R397" s="96"/>
      <c r="S397" s="87"/>
      <c r="T397" s="87"/>
      <c r="U397" s="87"/>
      <c r="V397" s="87"/>
    </row>
    <row r="398" spans="12:22" ht="14.4" hidden="1" customHeight="1">
      <c r="L398" s="36">
        <v>393</v>
      </c>
      <c r="M398" s="39">
        <f t="shared" si="68"/>
        <v>0</v>
      </c>
      <c r="N398" s="336"/>
      <c r="O398" s="41"/>
      <c r="P398" s="87"/>
      <c r="Q398" s="96"/>
      <c r="R398" s="96"/>
      <c r="S398" s="87"/>
      <c r="T398" s="87"/>
      <c r="U398" s="87"/>
      <c r="V398" s="87"/>
    </row>
    <row r="399" spans="12:22" ht="14.4" hidden="1" customHeight="1">
      <c r="L399" s="36">
        <v>394</v>
      </c>
      <c r="M399" s="39">
        <f t="shared" si="68"/>
        <v>0</v>
      </c>
      <c r="N399" s="6" t="s">
        <v>67</v>
      </c>
      <c r="O399" s="41"/>
      <c r="P399" s="39">
        <f>TOOLS!H60</f>
        <v>0</v>
      </c>
      <c r="Q399" s="95">
        <f>TOOLS!I60</f>
        <v>445.51</v>
      </c>
      <c r="R399" s="95">
        <f>TOOLS!J60</f>
        <v>0</v>
      </c>
      <c r="S399" s="39">
        <f>TOOLS!D60</f>
        <v>2811004500</v>
      </c>
      <c r="T399" s="39" t="str">
        <f>TOOLS!E60</f>
        <v>3/4" - 2"</v>
      </c>
      <c r="U399" s="39" t="str">
        <f>TOOLS!F60</f>
        <v>PF Series</v>
      </c>
      <c r="V399" s="39">
        <v>1</v>
      </c>
    </row>
    <row r="400" spans="12:22" ht="14.4" hidden="1" customHeight="1">
      <c r="L400" s="36">
        <v>395</v>
      </c>
      <c r="M400" s="39">
        <f t="shared" si="68"/>
        <v>0</v>
      </c>
      <c r="N400" s="6" t="s">
        <v>67</v>
      </c>
      <c r="O400" s="41"/>
      <c r="P400" s="39">
        <f>TOOLS!H61</f>
        <v>0</v>
      </c>
      <c r="Q400" s="95">
        <f>TOOLS!I61</f>
        <v>809.02</v>
      </c>
      <c r="R400" s="95">
        <f>TOOLS!J61</f>
        <v>0</v>
      </c>
      <c r="S400" s="39">
        <f>TOOLS!D61</f>
        <v>2811024500</v>
      </c>
      <c r="T400" s="39" t="str">
        <f>TOOLS!E61</f>
        <v>2 1/2" - 6"</v>
      </c>
      <c r="U400" s="39" t="str">
        <f>TOOLS!F61</f>
        <v>PM &amp; Large Series</v>
      </c>
      <c r="V400" s="39">
        <v>1</v>
      </c>
    </row>
    <row r="401" spans="12:22" ht="14.4" hidden="1" customHeight="1">
      <c r="L401" s="36">
        <v>396</v>
      </c>
      <c r="M401" s="39">
        <f t="shared" ref="M401:M464" si="69">IF(P401&gt;0,M400+1,M400)</f>
        <v>0</v>
      </c>
      <c r="N401" s="41"/>
      <c r="O401" s="41"/>
      <c r="P401" s="86">
        <f>TOOLS!H73</f>
        <v>0</v>
      </c>
      <c r="Q401" s="97">
        <f>TOOLS!I73</f>
        <v>0</v>
      </c>
      <c r="R401" s="97">
        <f>TOOLS!J73</f>
        <v>0</v>
      </c>
      <c r="S401" s="86">
        <f>TOOLS!D73</f>
        <v>0</v>
      </c>
      <c r="T401" s="86">
        <f>TOOLS!E73</f>
        <v>0</v>
      </c>
      <c r="U401" s="86">
        <f>TOOLS!F73</f>
        <v>0</v>
      </c>
      <c r="V401" s="86"/>
    </row>
    <row r="402" spans="12:22" ht="14.4" hidden="1" customHeight="1">
      <c r="L402" s="36">
        <v>397</v>
      </c>
      <c r="M402" s="39">
        <f t="shared" si="69"/>
        <v>0</v>
      </c>
      <c r="N402" s="5" t="s">
        <v>233</v>
      </c>
      <c r="O402" s="41"/>
      <c r="P402" s="39">
        <f>'ACCESSORIES, HOSES'!H4</f>
        <v>0</v>
      </c>
      <c r="Q402" s="98">
        <f>'ACCESSORIES, HOSES'!I4</f>
        <v>146.99</v>
      </c>
      <c r="R402" s="98">
        <f>'ACCESSORIES, HOSES'!K4</f>
        <v>0</v>
      </c>
      <c r="S402" s="39">
        <f>'ACCESSORIES, HOSES'!D4</f>
        <v>2813920004</v>
      </c>
      <c r="T402" s="39" t="str">
        <f>'ACCESSORIES, HOSES'!E4</f>
        <v>3/4"</v>
      </c>
      <c r="U402" s="39" t="str">
        <f>'ACCESSORIES, HOSES'!F4</f>
        <v xml:space="preserve">Pressure Regulator </v>
      </c>
      <c r="V402" s="39">
        <v>1</v>
      </c>
    </row>
    <row r="403" spans="12:22" ht="14.4" hidden="1" customHeight="1">
      <c r="L403" s="36">
        <v>398</v>
      </c>
      <c r="M403" s="39">
        <f t="shared" si="69"/>
        <v>0</v>
      </c>
      <c r="N403" s="172" t="s">
        <v>344</v>
      </c>
      <c r="O403" s="41"/>
      <c r="P403" s="39">
        <f>'ACCESSORIES, HOSES'!H5</f>
        <v>0</v>
      </c>
      <c r="Q403" s="98">
        <f>'ACCESSORIES, HOSES'!I5</f>
        <v>148.43</v>
      </c>
      <c r="R403" s="98">
        <f>'ACCESSORIES, HOSES'!K5</f>
        <v>0</v>
      </c>
      <c r="S403" s="39">
        <f>'ACCESSORIES, HOSES'!D5</f>
        <v>2813920006</v>
      </c>
      <c r="T403" s="39" t="str">
        <f>'ACCESSORIES, HOSES'!E5</f>
        <v>1"</v>
      </c>
      <c r="U403" s="39" t="str">
        <f>'ACCESSORIES, HOSES'!F5</f>
        <v>Pressure Regulator</v>
      </c>
      <c r="V403" s="39">
        <v>1</v>
      </c>
    </row>
    <row r="404" spans="12:22" ht="14.4" hidden="1" customHeight="1">
      <c r="L404" s="36">
        <v>399</v>
      </c>
      <c r="M404" s="39">
        <f t="shared" si="69"/>
        <v>0</v>
      </c>
      <c r="N404" s="5" t="s">
        <v>234</v>
      </c>
      <c r="O404" s="41"/>
      <c r="P404" s="39">
        <f>'ACCESSORIES, HOSES'!H6</f>
        <v>0</v>
      </c>
      <c r="Q404" s="98">
        <f>'ACCESSORIES, HOSES'!I6</f>
        <v>140.03</v>
      </c>
      <c r="R404" s="98">
        <f>'ACCESSORIES, HOSES'!K6</f>
        <v>0</v>
      </c>
      <c r="S404" s="39">
        <f>'ACCESSORIES, HOSES'!D6</f>
        <v>2813920018</v>
      </c>
      <c r="T404" s="39" t="str">
        <f>'ACCESSORIES, HOSES'!E6</f>
        <v>3/4"</v>
      </c>
      <c r="U404" s="39" t="str">
        <f>'ACCESSORIES, HOSES'!F6</f>
        <v xml:space="preserve">Filter Regulator </v>
      </c>
      <c r="V404" s="39">
        <v>1</v>
      </c>
    </row>
    <row r="405" spans="12:22" ht="14.4" hidden="1" customHeight="1">
      <c r="L405" s="36">
        <v>400</v>
      </c>
      <c r="M405" s="39">
        <f t="shared" si="69"/>
        <v>0</v>
      </c>
      <c r="N405" s="172" t="s">
        <v>235</v>
      </c>
      <c r="O405" s="41"/>
      <c r="P405" s="39">
        <f>'ACCESSORIES, HOSES'!H7</f>
        <v>0</v>
      </c>
      <c r="Q405" s="98">
        <f>'ACCESSORIES, HOSES'!I7</f>
        <v>140.37</v>
      </c>
      <c r="R405" s="98">
        <f>'ACCESSORIES, HOSES'!K7</f>
        <v>0</v>
      </c>
      <c r="S405" s="39">
        <f>'ACCESSORIES, HOSES'!D7</f>
        <v>2813920020</v>
      </c>
      <c r="T405" s="39" t="str">
        <f>'ACCESSORIES, HOSES'!E7</f>
        <v>1"</v>
      </c>
      <c r="U405" s="39" t="str">
        <f>'ACCESSORIES, HOSES'!F7</f>
        <v xml:space="preserve">Filter Regulator </v>
      </c>
      <c r="V405" s="39">
        <v>1</v>
      </c>
    </row>
    <row r="406" spans="12:22" ht="14.4" hidden="1" customHeight="1">
      <c r="L406" s="36">
        <v>401</v>
      </c>
      <c r="M406" s="39">
        <f t="shared" si="69"/>
        <v>0</v>
      </c>
      <c r="N406" s="5" t="s">
        <v>342</v>
      </c>
      <c r="O406" s="41"/>
      <c r="P406" s="39">
        <f>'ACCESSORIES, HOSES'!H8</f>
        <v>0</v>
      </c>
      <c r="Q406" s="98">
        <f>'ACCESSORIES, HOSES'!I8</f>
        <v>250.16</v>
      </c>
      <c r="R406" s="98">
        <f>'ACCESSORIES, HOSES'!K8</f>
        <v>0</v>
      </c>
      <c r="S406" s="39">
        <f>'ACCESSORIES, HOSES'!D8</f>
        <v>2813920030</v>
      </c>
      <c r="T406" s="39" t="str">
        <f>'ACCESSORIES, HOSES'!E8</f>
        <v>3/4"</v>
      </c>
      <c r="U406" s="39" t="str">
        <f>'ACCESSORIES, HOSES'!F8</f>
        <v>Filter+Regulator+Lubricator</v>
      </c>
      <c r="V406" s="39">
        <v>1</v>
      </c>
    </row>
    <row r="407" spans="12:22" ht="14.4" hidden="1" customHeight="1">
      <c r="L407" s="36">
        <v>402</v>
      </c>
      <c r="M407" s="39">
        <f t="shared" si="69"/>
        <v>0</v>
      </c>
      <c r="N407" s="172" t="s">
        <v>342</v>
      </c>
      <c r="O407" s="41"/>
      <c r="P407" s="39">
        <f>'ACCESSORIES, HOSES'!H9</f>
        <v>0</v>
      </c>
      <c r="Q407" s="98">
        <f>'ACCESSORIES, HOSES'!I9</f>
        <v>255.31</v>
      </c>
      <c r="R407" s="98">
        <f>'ACCESSORIES, HOSES'!K9</f>
        <v>0</v>
      </c>
      <c r="S407" s="39">
        <f>'ACCESSORIES, HOSES'!D9</f>
        <v>2813920032</v>
      </c>
      <c r="T407" s="39" t="str">
        <f>'ACCESSORIES, HOSES'!E9</f>
        <v>1"</v>
      </c>
      <c r="U407" s="39" t="str">
        <f>'ACCESSORIES, HOSES'!F9</f>
        <v>Filter+Regulator+Lubricator</v>
      </c>
      <c r="V407" s="39">
        <v>1</v>
      </c>
    </row>
    <row r="408" spans="12:22" ht="14.4" hidden="1" customHeight="1">
      <c r="L408" s="36">
        <v>403</v>
      </c>
      <c r="M408" s="39">
        <f t="shared" si="69"/>
        <v>0</v>
      </c>
      <c r="N408" s="5" t="s">
        <v>342</v>
      </c>
      <c r="O408" s="41"/>
      <c r="P408" s="39">
        <f>'ACCESSORIES, HOSES'!H10</f>
        <v>0</v>
      </c>
      <c r="Q408" s="98">
        <f>'ACCESSORIES, HOSES'!I10</f>
        <v>120.77</v>
      </c>
      <c r="R408" s="98">
        <f>'ACCESSORIES, HOSES'!K10</f>
        <v>0</v>
      </c>
      <c r="S408" s="39">
        <f>'ACCESSORIES, HOSES'!D10</f>
        <v>2813920011</v>
      </c>
      <c r="T408" s="39" t="str">
        <f>'ACCESSORIES, HOSES'!E10</f>
        <v>3/4"</v>
      </c>
      <c r="U408" s="39" t="str">
        <f>'ACCESSORIES, HOSES'!F10</f>
        <v>Auto Drain</v>
      </c>
      <c r="V408" s="39">
        <v>1</v>
      </c>
    </row>
    <row r="409" spans="12:22" ht="14.4" hidden="1" customHeight="1">
      <c r="L409" s="36">
        <v>404</v>
      </c>
      <c r="M409" s="39">
        <f t="shared" si="69"/>
        <v>0</v>
      </c>
      <c r="N409" s="172" t="s">
        <v>343</v>
      </c>
      <c r="O409" s="41"/>
      <c r="P409" s="39">
        <f>'ACCESSORIES, HOSES'!H11</f>
        <v>0</v>
      </c>
      <c r="Q409" s="98">
        <f>'ACCESSORIES, HOSES'!I11</f>
        <v>125.98</v>
      </c>
      <c r="R409" s="98">
        <f>'ACCESSORIES, HOSES'!K11</f>
        <v>0</v>
      </c>
      <c r="S409" s="39">
        <f>'ACCESSORIES, HOSES'!D11</f>
        <v>2813920013</v>
      </c>
      <c r="T409" s="39" t="str">
        <f>'ACCESSORIES, HOSES'!E11</f>
        <v>1"</v>
      </c>
      <c r="U409" s="39" t="str">
        <f>'ACCESSORIES, HOSES'!F11</f>
        <v>Auto Drain</v>
      </c>
      <c r="V409" s="39">
        <v>1</v>
      </c>
    </row>
    <row r="410" spans="12:22" ht="14.4" hidden="1" customHeight="1">
      <c r="L410" s="36">
        <v>405</v>
      </c>
      <c r="M410" s="39">
        <f t="shared" si="69"/>
        <v>0</v>
      </c>
      <c r="N410" s="18"/>
      <c r="O410" s="41"/>
      <c r="P410" s="87">
        <f>'ACCESSORIES, HOSES'!H12</f>
        <v>0</v>
      </c>
      <c r="Q410" s="100">
        <f>'ACCESSORIES, HOSES'!I12</f>
        <v>0</v>
      </c>
      <c r="R410" s="100">
        <f>'ACCESSORIES, HOSES'!K12</f>
        <v>0</v>
      </c>
      <c r="S410" s="87">
        <f>'ACCESSORIES, HOSES'!D12</f>
        <v>0</v>
      </c>
      <c r="T410" s="87">
        <f>'ACCESSORIES, HOSES'!E12</f>
        <v>0</v>
      </c>
      <c r="U410" s="87">
        <f>'ACCESSORIES, HOSES'!F12</f>
        <v>0</v>
      </c>
      <c r="V410" s="87"/>
    </row>
    <row r="411" spans="12:22" ht="14.4" hidden="1" customHeight="1">
      <c r="L411" s="36">
        <v>406</v>
      </c>
      <c r="M411" s="39">
        <f t="shared" si="69"/>
        <v>0</v>
      </c>
      <c r="N411" s="5" t="s">
        <v>236</v>
      </c>
      <c r="O411" s="41"/>
      <c r="P411" s="39">
        <f>'ACCESSORIES, HOSES'!H13</f>
        <v>0</v>
      </c>
      <c r="Q411" s="98">
        <f>'ACCESSORIES, HOSES'!I13</f>
        <v>2.84</v>
      </c>
      <c r="R411" s="98">
        <f>'ACCESSORIES, HOSES'!K13</f>
        <v>0</v>
      </c>
      <c r="S411" s="39">
        <f>'ACCESSORIES, HOSES'!D13</f>
        <v>1312100325</v>
      </c>
      <c r="T411" s="39" t="str">
        <f>'ACCESSORIES, HOSES'!E13</f>
        <v>1/2"m      x     1/4"f</v>
      </c>
      <c r="U411" s="39">
        <f>'ACCESSORIES, HOSES'!F13</f>
        <v>0</v>
      </c>
      <c r="V411" s="39">
        <v>1</v>
      </c>
    </row>
    <row r="412" spans="12:22" ht="14.4" hidden="1" customHeight="1">
      <c r="L412" s="36">
        <v>407</v>
      </c>
      <c r="M412" s="39">
        <f t="shared" si="69"/>
        <v>0</v>
      </c>
      <c r="N412" s="5" t="s">
        <v>236</v>
      </c>
      <c r="O412" s="41"/>
      <c r="P412" s="39">
        <f>'ACCESSORIES, HOSES'!H14</f>
        <v>0</v>
      </c>
      <c r="Q412" s="98">
        <f>'ACCESSORIES, HOSES'!I14</f>
        <v>2.09</v>
      </c>
      <c r="R412" s="98">
        <f>'ACCESSORIES, HOSES'!K14</f>
        <v>0</v>
      </c>
      <c r="S412" s="39">
        <f>'ACCESSORIES, HOSES'!D14</f>
        <v>1312100326</v>
      </c>
      <c r="T412" s="39" t="str">
        <f>'ACCESSORIES, HOSES'!E14</f>
        <v>1/2"m      x     3/8"f</v>
      </c>
      <c r="U412" s="39">
        <f>'ACCESSORIES, HOSES'!F14</f>
        <v>0</v>
      </c>
      <c r="V412" s="39">
        <v>1</v>
      </c>
    </row>
    <row r="413" spans="12:22" ht="14.4" hidden="1" customHeight="1">
      <c r="L413" s="36">
        <v>408</v>
      </c>
      <c r="M413" s="39">
        <f t="shared" si="69"/>
        <v>0</v>
      </c>
      <c r="N413" s="5" t="s">
        <v>236</v>
      </c>
      <c r="O413" s="41"/>
      <c r="P413" s="39">
        <f>'ACCESSORIES, HOSES'!H15</f>
        <v>0</v>
      </c>
      <c r="Q413" s="98">
        <f>'ACCESSORIES, HOSES'!I15</f>
        <v>13.02</v>
      </c>
      <c r="R413" s="98">
        <f>'ACCESSORIES, HOSES'!K15</f>
        <v>0</v>
      </c>
      <c r="S413" s="39">
        <f>'ACCESSORIES, HOSES'!D15</f>
        <v>1312100335</v>
      </c>
      <c r="T413" s="39" t="str">
        <f>'ACCESSORIES, HOSES'!E15</f>
        <v>3/4"m      x     1/2"f</v>
      </c>
      <c r="U413" s="39">
        <f>'ACCESSORIES, HOSES'!F15</f>
        <v>0</v>
      </c>
      <c r="V413" s="39">
        <v>1</v>
      </c>
    </row>
    <row r="414" spans="12:22" ht="14.4" hidden="1" customHeight="1">
      <c r="L414" s="36">
        <v>409</v>
      </c>
      <c r="M414" s="39">
        <f t="shared" si="69"/>
        <v>0</v>
      </c>
      <c r="N414" s="5" t="s">
        <v>236</v>
      </c>
      <c r="O414" s="41"/>
      <c r="P414" s="39">
        <f>'ACCESSORIES, HOSES'!H16</f>
        <v>0</v>
      </c>
      <c r="Q414" s="98">
        <f>'ACCESSORIES, HOSES'!I16</f>
        <v>4.5199999999999996</v>
      </c>
      <c r="R414" s="98">
        <f>'ACCESSORIES, HOSES'!K16</f>
        <v>0</v>
      </c>
      <c r="S414" s="39">
        <f>'ACCESSORIES, HOSES'!D16</f>
        <v>1310203228</v>
      </c>
      <c r="T414" s="39" t="str">
        <f>'ACCESSORIES, HOSES'!E16</f>
        <v>1"m          x     3/4"f</v>
      </c>
      <c r="U414" s="39">
        <f>'ACCESSORIES, HOSES'!F16</f>
        <v>0</v>
      </c>
      <c r="V414" s="39">
        <v>1</v>
      </c>
    </row>
    <row r="415" spans="12:22" ht="14.4" hidden="1" customHeight="1">
      <c r="L415" s="36">
        <v>410</v>
      </c>
      <c r="M415" s="39">
        <f t="shared" si="69"/>
        <v>0</v>
      </c>
      <c r="N415" s="5" t="s">
        <v>236</v>
      </c>
      <c r="O415" s="41"/>
      <c r="P415" s="39">
        <f>'ACCESSORIES, HOSES'!H17</f>
        <v>0</v>
      </c>
      <c r="Q415" s="98">
        <f>'ACCESSORIES, HOSES'!I17</f>
        <v>7.28</v>
      </c>
      <c r="R415" s="98">
        <f>'ACCESSORIES, HOSES'!K17</f>
        <v>0</v>
      </c>
      <c r="S415" s="39">
        <f>'ACCESSORIES, HOSES'!D17</f>
        <v>1310072403</v>
      </c>
      <c r="T415" s="39" t="str">
        <f>'ACCESSORIES, HOSES'!E17</f>
        <v>1 1/2"m   x     1"f</v>
      </c>
      <c r="U415" s="39">
        <f>'ACCESSORIES, HOSES'!F17</f>
        <v>0</v>
      </c>
      <c r="V415" s="39">
        <v>1</v>
      </c>
    </row>
    <row r="416" spans="12:22" ht="14.4" hidden="1" customHeight="1">
      <c r="L416" s="36">
        <v>411</v>
      </c>
      <c r="M416" s="39">
        <f t="shared" si="69"/>
        <v>0</v>
      </c>
      <c r="N416" s="5" t="s">
        <v>236</v>
      </c>
      <c r="O416" s="41"/>
      <c r="P416" s="39">
        <f>'ACCESSORIES, HOSES'!H18</f>
        <v>0</v>
      </c>
      <c r="Q416" s="98">
        <f>'ACCESSORIES, HOSES'!I18</f>
        <v>12.15</v>
      </c>
      <c r="R416" s="98">
        <f>'ACCESSORIES, HOSES'!K18</f>
        <v>0</v>
      </c>
      <c r="S416" s="39">
        <f>'ACCESSORIES, HOSES'!D18</f>
        <v>1310201169</v>
      </c>
      <c r="T416" s="39" t="str">
        <f>'ACCESSORIES, HOSES'!E18</f>
        <v>2"m          x     1 1/2"f</v>
      </c>
      <c r="U416" s="39">
        <f>'ACCESSORIES, HOSES'!F18</f>
        <v>0</v>
      </c>
      <c r="V416" s="39">
        <v>1</v>
      </c>
    </row>
    <row r="417" spans="12:22" ht="14.4" hidden="1" customHeight="1">
      <c r="L417" s="36">
        <v>412</v>
      </c>
      <c r="M417" s="39">
        <f t="shared" si="69"/>
        <v>0</v>
      </c>
      <c r="N417" s="5" t="s">
        <v>236</v>
      </c>
      <c r="O417" s="41"/>
      <c r="P417" s="39">
        <f>'ACCESSORIES, HOSES'!H19</f>
        <v>0</v>
      </c>
      <c r="Q417" s="98">
        <f>'ACCESSORIES, HOSES'!I19</f>
        <v>26.15</v>
      </c>
      <c r="R417" s="98">
        <f>'ACCESSORIES, HOSES'!K19</f>
        <v>0</v>
      </c>
      <c r="S417" s="39">
        <f>'ACCESSORIES, HOSES'!D19</f>
        <v>1310256325</v>
      </c>
      <c r="T417" s="39" t="str">
        <f>'ACCESSORIES, HOSES'!E19</f>
        <v>2 1/2"m   x     2"f</v>
      </c>
      <c r="U417" s="39">
        <f>'ACCESSORIES, HOSES'!F19</f>
        <v>0</v>
      </c>
      <c r="V417" s="39">
        <v>1</v>
      </c>
    </row>
    <row r="418" spans="12:22" ht="14.4" hidden="1" customHeight="1">
      <c r="L418" s="36">
        <v>413</v>
      </c>
      <c r="M418" s="39">
        <f t="shared" si="69"/>
        <v>0</v>
      </c>
      <c r="N418" s="5" t="s">
        <v>236</v>
      </c>
      <c r="O418" s="41"/>
      <c r="P418" s="39">
        <f>'ACCESSORIES, HOSES'!H20</f>
        <v>0</v>
      </c>
      <c r="Q418" s="98">
        <f>'ACCESSORIES, HOSES'!I20</f>
        <v>28.7</v>
      </c>
      <c r="R418" s="98">
        <f>'ACCESSORIES, HOSES'!K20</f>
        <v>0</v>
      </c>
      <c r="S418" s="39">
        <f>'ACCESSORIES, HOSES'!D20</f>
        <v>1310256514</v>
      </c>
      <c r="T418" s="39" t="str">
        <f>'ACCESSORIES, HOSES'!E20</f>
        <v>3"m          x     2"f</v>
      </c>
      <c r="U418" s="39">
        <f>'ACCESSORIES, HOSES'!F20</f>
        <v>0</v>
      </c>
      <c r="V418" s="39">
        <v>1</v>
      </c>
    </row>
    <row r="419" spans="12:22" ht="14.4" hidden="1" customHeight="1">
      <c r="L419" s="36">
        <v>414</v>
      </c>
      <c r="M419" s="39">
        <f t="shared" si="69"/>
        <v>0</v>
      </c>
      <c r="N419" s="5" t="s">
        <v>236</v>
      </c>
      <c r="O419" s="41"/>
      <c r="P419" s="39">
        <f>'ACCESSORIES, HOSES'!H21</f>
        <v>0</v>
      </c>
      <c r="Q419" s="98">
        <f>'ACCESSORIES, HOSES'!I21</f>
        <v>35.08</v>
      </c>
      <c r="R419" s="98">
        <f>'ACCESSORIES, HOSES'!K21</f>
        <v>0</v>
      </c>
      <c r="S419" s="39">
        <f>'ACCESSORIES, HOSES'!D21</f>
        <v>1310256082</v>
      </c>
      <c r="T419" s="39" t="str">
        <f>'ACCESSORIES, HOSES'!E21</f>
        <v>3"m          x     2 1/2"f</v>
      </c>
      <c r="U419" s="39">
        <f>'ACCESSORIES, HOSES'!F21</f>
        <v>0</v>
      </c>
      <c r="V419" s="39">
        <v>1</v>
      </c>
    </row>
    <row r="420" spans="12:22" ht="14.4" hidden="1" customHeight="1">
      <c r="L420" s="36">
        <v>415</v>
      </c>
      <c r="M420" s="39">
        <f t="shared" si="69"/>
        <v>0</v>
      </c>
      <c r="N420" s="5" t="s">
        <v>236</v>
      </c>
      <c r="O420" s="41"/>
      <c r="P420" s="39">
        <f>'ACCESSORIES, HOSES'!H23</f>
        <v>0</v>
      </c>
      <c r="Q420" s="98">
        <f>'ACCESSORIES, HOSES'!I23</f>
        <v>6.79</v>
      </c>
      <c r="R420" s="98">
        <f>'ACCESSORIES, HOSES'!K23</f>
        <v>0</v>
      </c>
      <c r="S420" s="39">
        <f>'ACCESSORIES, HOSES'!D23</f>
        <v>2811007700</v>
      </c>
      <c r="T420" s="39" t="str">
        <f>'ACCESSORIES, HOSES'!E23</f>
        <v>1/2" Male x 1/2" Male</v>
      </c>
      <c r="U420" s="39">
        <f>'ACCESSORIES, HOSES'!F23</f>
        <v>0</v>
      </c>
      <c r="V420" s="39">
        <v>1</v>
      </c>
    </row>
    <row r="421" spans="12:22" ht="14.4" hidden="1" customHeight="1">
      <c r="L421" s="36">
        <v>416</v>
      </c>
      <c r="M421" s="39">
        <f t="shared" si="69"/>
        <v>0</v>
      </c>
      <c r="N421" s="5" t="s">
        <v>236</v>
      </c>
      <c r="O421" s="41"/>
      <c r="P421" s="39">
        <f>'ACCESSORIES, HOSES'!H24</f>
        <v>0</v>
      </c>
      <c r="Q421" s="98">
        <f>'ACCESSORIES, HOSES'!I24</f>
        <v>11.23</v>
      </c>
      <c r="R421" s="98">
        <f>'ACCESSORIES, HOSES'!K24</f>
        <v>0</v>
      </c>
      <c r="S421" s="39">
        <f>'ACCESSORIES, HOSES'!D24</f>
        <v>2811117700</v>
      </c>
      <c r="T421" s="39" t="str">
        <f>'ACCESSORIES, HOSES'!E24</f>
        <v>3/4" Male x 3/4" Male</v>
      </c>
      <c r="U421" s="39">
        <f>'ACCESSORIES, HOSES'!F24</f>
        <v>0</v>
      </c>
      <c r="V421" s="39">
        <v>1</v>
      </c>
    </row>
    <row r="422" spans="12:22" ht="14.4" hidden="1" customHeight="1">
      <c r="L422" s="36">
        <v>417</v>
      </c>
      <c r="M422" s="39">
        <f t="shared" si="69"/>
        <v>0</v>
      </c>
      <c r="N422" s="5" t="s">
        <v>236</v>
      </c>
      <c r="O422" s="41"/>
      <c r="P422" s="39">
        <f>'ACCESSORIES, HOSES'!H25</f>
        <v>0</v>
      </c>
      <c r="Q422" s="98">
        <f>'ACCESSORIES, HOSES'!I25</f>
        <v>25.51</v>
      </c>
      <c r="R422" s="98">
        <f>'ACCESSORIES, HOSES'!K25</f>
        <v>0</v>
      </c>
      <c r="S422" s="39">
        <f>'ACCESSORIES, HOSES'!D25</f>
        <v>2811227700</v>
      </c>
      <c r="T422" s="39" t="str">
        <f>'ACCESSORIES, HOSES'!E25</f>
        <v>1" Male x 1" Male</v>
      </c>
      <c r="U422" s="39">
        <f>'ACCESSORIES, HOSES'!F25</f>
        <v>0</v>
      </c>
      <c r="V422" s="39">
        <v>1</v>
      </c>
    </row>
    <row r="423" spans="12:22" ht="14.4" hidden="1" customHeight="1">
      <c r="L423" s="36">
        <v>418</v>
      </c>
      <c r="M423" s="39">
        <f t="shared" si="69"/>
        <v>0</v>
      </c>
      <c r="N423" s="5" t="s">
        <v>236</v>
      </c>
      <c r="O423" s="41"/>
      <c r="P423" s="39">
        <f>'ACCESSORIES, HOSES'!H26</f>
        <v>0</v>
      </c>
      <c r="Q423" s="98">
        <f>'ACCESSORIES, HOSES'!I26</f>
        <v>39.409999999999997</v>
      </c>
      <c r="R423" s="98">
        <f>'ACCESSORIES, HOSES'!K26</f>
        <v>0</v>
      </c>
      <c r="S423" s="39">
        <f>'ACCESSORIES, HOSES'!D26</f>
        <v>2811447700</v>
      </c>
      <c r="T423" s="39" t="str">
        <f>'ACCESSORIES, HOSES'!E26</f>
        <v>1 1/2" Male x 1 1/2" Male</v>
      </c>
      <c r="U423" s="39">
        <f>'ACCESSORIES, HOSES'!F26</f>
        <v>0</v>
      </c>
      <c r="V423" s="39">
        <v>1</v>
      </c>
    </row>
    <row r="424" spans="12:22" ht="14.4" hidden="1" customHeight="1">
      <c r="L424" s="36">
        <v>419</v>
      </c>
      <c r="M424" s="39">
        <f t="shared" si="69"/>
        <v>0</v>
      </c>
      <c r="N424" s="5" t="s">
        <v>236</v>
      </c>
      <c r="O424" s="41"/>
      <c r="P424" s="39">
        <f>'ACCESSORIES, HOSES'!H27</f>
        <v>0</v>
      </c>
      <c r="Q424" s="98">
        <f>'ACCESSORIES, HOSES'!I27</f>
        <v>10.88</v>
      </c>
      <c r="R424" s="98">
        <f>'ACCESSORIES, HOSES'!K27</f>
        <v>0</v>
      </c>
      <c r="S424" s="39">
        <f>'ACCESSORIES, HOSES'!D27</f>
        <v>2811557700</v>
      </c>
      <c r="T424" s="39" t="str">
        <f>'ACCESSORIES, HOSES'!E27</f>
        <v>2" Male x 2" Male</v>
      </c>
      <c r="U424" s="39">
        <f>'ACCESSORIES, HOSES'!F27</f>
        <v>0</v>
      </c>
      <c r="V424" s="39">
        <v>1</v>
      </c>
    </row>
    <row r="425" spans="12:22" ht="14.4" hidden="1" customHeight="1">
      <c r="L425" s="36">
        <v>420</v>
      </c>
      <c r="M425" s="39">
        <f t="shared" si="69"/>
        <v>0</v>
      </c>
      <c r="N425" s="18"/>
      <c r="O425" s="41"/>
      <c r="Q425" s="12"/>
      <c r="R425" s="12"/>
      <c r="U425" s="2"/>
    </row>
    <row r="426" spans="12:22" ht="14.4" hidden="1" customHeight="1">
      <c r="L426" s="36">
        <v>421</v>
      </c>
      <c r="M426" s="39">
        <f t="shared" si="69"/>
        <v>0</v>
      </c>
      <c r="N426" s="5" t="s">
        <v>1780</v>
      </c>
      <c r="O426" s="41"/>
      <c r="P426" s="39">
        <f>'ACCESSORIES, HOSES'!H29</f>
        <v>0</v>
      </c>
      <c r="Q426" s="98">
        <f>'ACCESSORIES, HOSES'!I29</f>
        <v>12.36</v>
      </c>
      <c r="R426" s="98">
        <f>'ACCESSORIES, HOSES'!K29</f>
        <v>0</v>
      </c>
      <c r="S426" s="39">
        <f>'ACCESSORIES, HOSES'!D29</f>
        <v>2811007900</v>
      </c>
      <c r="T426" s="39" t="str">
        <f>'ACCESSORIES, HOSES'!E29</f>
        <v>1/2" Female x 1/2" Female</v>
      </c>
      <c r="U426" s="39">
        <f>'ACCESSORIES, HOSES'!F29</f>
        <v>0</v>
      </c>
      <c r="V426" s="39">
        <v>1</v>
      </c>
    </row>
    <row r="427" spans="12:22" ht="14.4" hidden="1" customHeight="1">
      <c r="L427" s="36">
        <v>422</v>
      </c>
      <c r="M427" s="39">
        <f t="shared" si="69"/>
        <v>0</v>
      </c>
      <c r="N427" s="5" t="s">
        <v>1780</v>
      </c>
      <c r="O427" s="41"/>
      <c r="P427" s="39">
        <f>'ACCESSORIES, HOSES'!H30</f>
        <v>0</v>
      </c>
      <c r="Q427" s="98">
        <f>'ACCESSORIES, HOSES'!I30</f>
        <v>21.22</v>
      </c>
      <c r="R427" s="98">
        <f>'ACCESSORIES, HOSES'!K30</f>
        <v>0</v>
      </c>
      <c r="S427" s="39">
        <f>'ACCESSORIES, HOSES'!D30</f>
        <v>2811117900</v>
      </c>
      <c r="T427" s="39" t="str">
        <f>'ACCESSORIES, HOSES'!E30</f>
        <v>3/4" Female x 3/4" Female</v>
      </c>
      <c r="U427" s="39">
        <f>'ACCESSORIES, HOSES'!F30</f>
        <v>0</v>
      </c>
      <c r="V427" s="39">
        <v>1</v>
      </c>
    </row>
    <row r="428" spans="12:22" ht="14.4" hidden="1" customHeight="1">
      <c r="L428" s="36">
        <v>423</v>
      </c>
      <c r="M428" s="39">
        <f t="shared" si="69"/>
        <v>0</v>
      </c>
      <c r="N428" s="5" t="s">
        <v>1780</v>
      </c>
      <c r="O428" s="41"/>
      <c r="P428" s="39">
        <f>'ACCESSORIES, HOSES'!H31</f>
        <v>0</v>
      </c>
      <c r="Q428" s="98">
        <f>'ACCESSORIES, HOSES'!I31</f>
        <v>33.799999999999997</v>
      </c>
      <c r="R428" s="98">
        <f>'ACCESSORIES, HOSES'!K31</f>
        <v>0</v>
      </c>
      <c r="S428" s="39">
        <f>'ACCESSORIES, HOSES'!D31</f>
        <v>2811227900</v>
      </c>
      <c r="T428" s="39" t="str">
        <f>'ACCESSORIES, HOSES'!E31</f>
        <v>1" Female x 1" Female</v>
      </c>
      <c r="U428" s="39">
        <f>'ACCESSORIES, HOSES'!F31</f>
        <v>0</v>
      </c>
      <c r="V428" s="39">
        <v>1</v>
      </c>
    </row>
    <row r="429" spans="12:22" ht="14.4" hidden="1" customHeight="1">
      <c r="L429" s="36">
        <v>424</v>
      </c>
      <c r="M429" s="39">
        <f t="shared" si="69"/>
        <v>0</v>
      </c>
      <c r="N429" s="5" t="s">
        <v>1780</v>
      </c>
      <c r="O429" s="41"/>
      <c r="P429" s="39">
        <f>'ACCESSORIES, HOSES'!H32</f>
        <v>0</v>
      </c>
      <c r="Q429" s="98">
        <f>'ACCESSORIES, HOSES'!I32</f>
        <v>34.74</v>
      </c>
      <c r="R429" s="98">
        <f>'ACCESSORIES, HOSES'!K32</f>
        <v>0</v>
      </c>
      <c r="S429" s="39">
        <f>'ACCESSORIES, HOSES'!D32</f>
        <v>2811337900</v>
      </c>
      <c r="T429" s="39" t="str">
        <f>'ACCESSORIES, HOSES'!E32</f>
        <v>1 1/4" Female x 1 1/4" Female</v>
      </c>
      <c r="U429" s="39">
        <f>'ACCESSORIES, HOSES'!F32</f>
        <v>0</v>
      </c>
      <c r="V429" s="39">
        <v>1</v>
      </c>
    </row>
    <row r="430" spans="12:22" ht="14.4" hidden="1" customHeight="1">
      <c r="L430" s="36">
        <v>425</v>
      </c>
      <c r="M430" s="39">
        <f t="shared" si="69"/>
        <v>0</v>
      </c>
      <c r="N430" s="5" t="s">
        <v>1780</v>
      </c>
      <c r="O430" s="41"/>
      <c r="P430" s="39">
        <f>'ACCESSORIES, HOSES'!H33</f>
        <v>0</v>
      </c>
      <c r="Q430" s="98">
        <f>'ACCESSORIES, HOSES'!I33</f>
        <v>41.26</v>
      </c>
      <c r="R430" s="98">
        <f>'ACCESSORIES, HOSES'!K33</f>
        <v>0</v>
      </c>
      <c r="S430" s="39">
        <f>'ACCESSORIES, HOSES'!D33</f>
        <v>2811447900</v>
      </c>
      <c r="T430" s="39" t="str">
        <f>'ACCESSORIES, HOSES'!E33</f>
        <v>1 1/2" Female x 1 1/2" Female</v>
      </c>
      <c r="U430" s="39">
        <f>'ACCESSORIES, HOSES'!F33</f>
        <v>0</v>
      </c>
      <c r="V430" s="39">
        <v>1</v>
      </c>
    </row>
    <row r="431" spans="12:22" ht="14.4" hidden="1" customHeight="1">
      <c r="L431" s="36">
        <v>426</v>
      </c>
      <c r="M431" s="39">
        <f t="shared" si="69"/>
        <v>0</v>
      </c>
      <c r="N431" s="5" t="s">
        <v>1780</v>
      </c>
      <c r="O431" s="41"/>
      <c r="P431" s="39">
        <f>'ACCESSORIES, HOSES'!H34</f>
        <v>0</v>
      </c>
      <c r="Q431" s="98">
        <f>'ACCESSORIES, HOSES'!I34</f>
        <v>62.41</v>
      </c>
      <c r="R431" s="98">
        <f>'ACCESSORIES, HOSES'!K34</f>
        <v>0</v>
      </c>
      <c r="S431" s="39">
        <f>'ACCESSORIES, HOSES'!D34</f>
        <v>2811557900</v>
      </c>
      <c r="T431" s="39" t="str">
        <f>'ACCESSORIES, HOSES'!E34</f>
        <v>2" Female x 2" Female</v>
      </c>
      <c r="U431" s="39">
        <f>'ACCESSORIES, HOSES'!F34</f>
        <v>0</v>
      </c>
      <c r="V431" s="39">
        <v>1</v>
      </c>
    </row>
    <row r="432" spans="12:22" ht="14.4" hidden="1" customHeight="1">
      <c r="L432" s="36">
        <v>427</v>
      </c>
      <c r="M432" s="39">
        <f t="shared" si="69"/>
        <v>0</v>
      </c>
      <c r="N432" s="18"/>
      <c r="O432" s="41"/>
      <c r="P432" s="39">
        <f>'ACCESSORIES, HOSES'!H35</f>
        <v>0</v>
      </c>
      <c r="Q432" s="98">
        <f>'ACCESSORIES, HOSES'!I35</f>
        <v>0</v>
      </c>
      <c r="R432" s="98">
        <f>'ACCESSORIES, HOSES'!K35</f>
        <v>0</v>
      </c>
      <c r="S432" s="39">
        <f>'ACCESSORIES, HOSES'!D35</f>
        <v>0</v>
      </c>
      <c r="T432" s="39">
        <f>'ACCESSORIES, HOSES'!E35</f>
        <v>0</v>
      </c>
      <c r="U432" s="39" t="str">
        <f>'ACCESSORIES, HOSES'!F35</f>
        <v>Length</v>
      </c>
      <c r="V432" s="39">
        <v>1</v>
      </c>
    </row>
    <row r="433" spans="12:22" ht="14.4" hidden="1" customHeight="1">
      <c r="L433" s="36">
        <v>428</v>
      </c>
      <c r="M433" s="39">
        <f t="shared" si="69"/>
        <v>0</v>
      </c>
      <c r="N433" s="18"/>
      <c r="O433" s="41"/>
      <c r="P433" s="39">
        <f>'ACCESSORIES, HOSES'!H36</f>
        <v>0</v>
      </c>
      <c r="Q433" s="98">
        <f>'ACCESSORIES, HOSES'!I36</f>
        <v>0</v>
      </c>
      <c r="R433" s="98">
        <f>'ACCESSORIES, HOSES'!K36</f>
        <v>0</v>
      </c>
      <c r="S433" s="39">
        <f>'ACCESSORIES, HOSES'!D36</f>
        <v>1312100950</v>
      </c>
      <c r="T433" s="39" t="str">
        <f>'ACCESSORIES, HOSES'!E36</f>
        <v>3/4" straight</v>
      </c>
      <c r="U433" s="39" t="str">
        <f>'ACCESSORIES, HOSES'!F36</f>
        <v>2 1/2 ft</v>
      </c>
      <c r="V433" s="39">
        <v>1</v>
      </c>
    </row>
    <row r="434" spans="12:22" ht="14.4" hidden="1" customHeight="1">
      <c r="L434" s="36">
        <v>429</v>
      </c>
      <c r="M434" s="39">
        <f t="shared" si="69"/>
        <v>0</v>
      </c>
      <c r="N434" s="6" t="s">
        <v>1804</v>
      </c>
      <c r="O434" s="41"/>
      <c r="P434" s="39">
        <f>'ACCESSORIES, HOSES'!H37</f>
        <v>0</v>
      </c>
      <c r="Q434" s="98">
        <f>'ACCESSORIES, HOSES'!I37</f>
        <v>0</v>
      </c>
      <c r="R434" s="98">
        <f>'ACCESSORIES, HOSES'!K37</f>
        <v>0</v>
      </c>
      <c r="S434" s="39">
        <f>'ACCESSORIES, HOSES'!D37</f>
        <v>1312100951</v>
      </c>
      <c r="T434" s="39" t="str">
        <f>'ACCESSORIES, HOSES'!E37</f>
        <v>3/4" straight</v>
      </c>
      <c r="U434" s="39" t="str">
        <f>'ACCESSORIES, HOSES'!F37</f>
        <v>4.9 ft</v>
      </c>
      <c r="V434" s="39">
        <v>1</v>
      </c>
    </row>
    <row r="435" spans="12:22" ht="14.4" hidden="1" customHeight="1">
      <c r="L435" s="36">
        <v>430</v>
      </c>
      <c r="M435" s="39">
        <f t="shared" si="69"/>
        <v>0</v>
      </c>
      <c r="N435" s="6" t="s">
        <v>1804</v>
      </c>
      <c r="O435" s="41"/>
      <c r="P435" s="39">
        <f>'ACCESSORIES, HOSES'!H38</f>
        <v>0</v>
      </c>
      <c r="Q435" s="98">
        <f>'ACCESSORIES, HOSES'!I38</f>
        <v>0</v>
      </c>
      <c r="R435" s="98">
        <f>'ACCESSORIES, HOSES'!K38</f>
        <v>0</v>
      </c>
      <c r="S435" s="39">
        <f>'ACCESSORIES, HOSES'!D38</f>
        <v>1312100952</v>
      </c>
      <c r="T435" s="39" t="str">
        <f>'ACCESSORIES, HOSES'!E38</f>
        <v>1" straight</v>
      </c>
      <c r="U435" s="39" t="str">
        <f>'ACCESSORIES, HOSES'!F38</f>
        <v>2 1/2 ft</v>
      </c>
      <c r="V435" s="39">
        <v>1</v>
      </c>
    </row>
    <row r="436" spans="12:22" ht="14.4" hidden="1" customHeight="1">
      <c r="L436" s="36">
        <v>431</v>
      </c>
      <c r="M436" s="39">
        <f t="shared" si="69"/>
        <v>0</v>
      </c>
      <c r="N436" s="6" t="s">
        <v>1804</v>
      </c>
      <c r="O436" s="41"/>
      <c r="P436" s="39">
        <f>'ACCESSORIES, HOSES'!H39</f>
        <v>0</v>
      </c>
      <c r="Q436" s="98">
        <f>'ACCESSORIES, HOSES'!I39</f>
        <v>0</v>
      </c>
      <c r="R436" s="98">
        <f>'ACCESSORIES, HOSES'!K39</f>
        <v>0</v>
      </c>
      <c r="S436" s="39">
        <f>'ACCESSORIES, HOSES'!D39</f>
        <v>1312100953</v>
      </c>
      <c r="T436" s="39" t="str">
        <f>'ACCESSORIES, HOSES'!E39</f>
        <v>1" straight</v>
      </c>
      <c r="U436" s="39" t="str">
        <f>'ACCESSORIES, HOSES'!F39</f>
        <v>4.9 ft</v>
      </c>
      <c r="V436" s="39">
        <v>1</v>
      </c>
    </row>
    <row r="437" spans="12:22" ht="14.4" hidden="1" customHeight="1">
      <c r="L437" s="36">
        <v>432</v>
      </c>
      <c r="M437" s="39">
        <f t="shared" si="69"/>
        <v>0</v>
      </c>
      <c r="N437" s="6" t="s">
        <v>1804</v>
      </c>
      <c r="O437" s="41"/>
      <c r="P437" s="39">
        <f>'ACCESSORIES, HOSES'!H40</f>
        <v>0</v>
      </c>
      <c r="Q437" s="98">
        <f>'ACCESSORIES, HOSES'!I40</f>
        <v>0</v>
      </c>
      <c r="R437" s="98">
        <f>'ACCESSORIES, HOSES'!K40</f>
        <v>0</v>
      </c>
      <c r="S437" s="39">
        <f>'ACCESSORIES, HOSES'!D40</f>
        <v>1312100954</v>
      </c>
      <c r="T437" s="39" t="str">
        <f>'ACCESSORIES, HOSES'!E40</f>
        <v>1 1/2"" straight</v>
      </c>
      <c r="U437" s="39" t="str">
        <f>'ACCESSORIES, HOSES'!F40</f>
        <v>4.9 ft</v>
      </c>
      <c r="V437" s="39">
        <v>1</v>
      </c>
    </row>
    <row r="438" spans="12:22" ht="14.4" hidden="1" customHeight="1">
      <c r="L438" s="36">
        <v>433</v>
      </c>
      <c r="M438" s="39">
        <f t="shared" si="69"/>
        <v>0</v>
      </c>
      <c r="N438" s="6" t="s">
        <v>1804</v>
      </c>
      <c r="O438" s="41"/>
      <c r="P438" s="39">
        <f>'ACCESSORIES, HOSES'!H41</f>
        <v>0</v>
      </c>
      <c r="Q438" s="98">
        <f>'ACCESSORIES, HOSES'!I41</f>
        <v>0</v>
      </c>
      <c r="R438" s="98">
        <f>'ACCESSORIES, HOSES'!K41</f>
        <v>0</v>
      </c>
      <c r="S438" s="39">
        <f>'ACCESSORIES, HOSES'!D41</f>
        <v>1312100955</v>
      </c>
      <c r="T438" s="39" t="str">
        <f>'ACCESSORIES, HOSES'!E41</f>
        <v>2" straight</v>
      </c>
      <c r="U438" s="39" t="str">
        <f>'ACCESSORIES, HOSES'!F41</f>
        <v>4.9 ft</v>
      </c>
      <c r="V438" s="39">
        <v>1</v>
      </c>
    </row>
    <row r="439" spans="12:22" ht="14.4" hidden="1" customHeight="1">
      <c r="L439" s="36">
        <v>434</v>
      </c>
      <c r="M439" s="39">
        <f t="shared" si="69"/>
        <v>0</v>
      </c>
      <c r="N439" s="18"/>
      <c r="O439" s="41"/>
      <c r="Q439" s="12"/>
      <c r="R439" s="12"/>
      <c r="U439" s="2"/>
    </row>
    <row r="440" spans="12:22" ht="14.4" hidden="1" customHeight="1">
      <c r="L440" s="36">
        <v>435</v>
      </c>
      <c r="M440" s="39">
        <f t="shared" si="69"/>
        <v>0</v>
      </c>
      <c r="N440" s="5" t="s">
        <v>291</v>
      </c>
      <c r="O440" s="41"/>
      <c r="P440" s="39">
        <f>'ACCESSORIES, HOSES'!H44</f>
        <v>0</v>
      </c>
      <c r="Q440" s="98">
        <f>'ACCESSORIES, HOSES'!I44</f>
        <v>64.260000000000005</v>
      </c>
      <c r="R440" s="98">
        <f>'ACCESSORIES, HOSES'!K44</f>
        <v>0</v>
      </c>
      <c r="S440" s="39">
        <f>'ACCESSORIES, HOSES'!D44</f>
        <v>1312100941</v>
      </c>
      <c r="T440" s="39" t="str">
        <f>'ACCESSORIES, HOSES'!E44</f>
        <v>1/4" FNPT</v>
      </c>
      <c r="U440" s="39" t="str">
        <f>'ACCESSORIES, HOSES'!F44</f>
        <v>ARO Profile- 1/4" body style</v>
      </c>
      <c r="V440" s="39">
        <v>1</v>
      </c>
    </row>
    <row r="441" spans="12:22" ht="14.4" hidden="1" customHeight="1">
      <c r="L441" s="36">
        <v>436</v>
      </c>
      <c r="M441" s="39">
        <f t="shared" si="69"/>
        <v>0</v>
      </c>
      <c r="N441" s="5" t="s">
        <v>291</v>
      </c>
      <c r="O441" s="41"/>
      <c r="P441" s="39">
        <f>'ACCESSORIES, HOSES'!H45</f>
        <v>0</v>
      </c>
      <c r="Q441" s="98">
        <f>'ACCESSORIES, HOSES'!I45</f>
        <v>64.260000000000005</v>
      </c>
      <c r="R441" s="98">
        <f>'ACCESSORIES, HOSES'!K45</f>
        <v>0</v>
      </c>
      <c r="S441" s="39">
        <f>'ACCESSORIES, HOSES'!D45</f>
        <v>1312100942</v>
      </c>
      <c r="T441" s="39" t="str">
        <f>'ACCESSORIES, HOSES'!E45</f>
        <v>1/2" MNPT</v>
      </c>
      <c r="U441" s="39" t="str">
        <f>'ACCESSORIES, HOSES'!F45</f>
        <v>ARO Profile- 1/4" body style</v>
      </c>
      <c r="V441" s="39">
        <v>1</v>
      </c>
    </row>
    <row r="442" spans="12:22" ht="14.4" hidden="1" customHeight="1">
      <c r="L442" s="36">
        <v>437</v>
      </c>
      <c r="M442" s="39">
        <f t="shared" si="69"/>
        <v>0</v>
      </c>
      <c r="N442" s="5" t="s">
        <v>291</v>
      </c>
      <c r="O442" s="41"/>
      <c r="P442" s="39">
        <f>'ACCESSORIES, HOSES'!H46</f>
        <v>0</v>
      </c>
      <c r="Q442" s="98">
        <f>'ACCESSORIES, HOSES'!I46</f>
        <v>24.03</v>
      </c>
      <c r="R442" s="98">
        <f>'ACCESSORIES, HOSES'!K46</f>
        <v>0</v>
      </c>
      <c r="S442" s="39">
        <f>'ACCESSORIES, HOSES'!D46</f>
        <v>1312100946</v>
      </c>
      <c r="T442" s="39" t="str">
        <f>'ACCESSORIES, HOSES'!E46</f>
        <v>1/4" FNPT</v>
      </c>
      <c r="U442" s="39" t="str">
        <f>'ACCESSORIES, HOSES'!F46</f>
        <v>Ind. Interchange- 1/4" body style</v>
      </c>
      <c r="V442" s="39">
        <v>1</v>
      </c>
    </row>
    <row r="443" spans="12:22" ht="14.4" hidden="1" customHeight="1">
      <c r="L443" s="36">
        <v>438</v>
      </c>
      <c r="M443" s="39">
        <f t="shared" si="69"/>
        <v>0</v>
      </c>
      <c r="N443" s="5" t="s">
        <v>291</v>
      </c>
      <c r="O443" s="41"/>
      <c r="P443" s="39">
        <f>'ACCESSORIES, HOSES'!H47</f>
        <v>0</v>
      </c>
      <c r="Q443" s="98">
        <f>'ACCESSORIES, HOSES'!I47</f>
        <v>24.03</v>
      </c>
      <c r="R443" s="98">
        <f>'ACCESSORIES, HOSES'!K47</f>
        <v>0</v>
      </c>
      <c r="S443" s="39">
        <f>'ACCESSORIES, HOSES'!D47</f>
        <v>1312100947</v>
      </c>
      <c r="T443" s="39" t="str">
        <f>'ACCESSORIES, HOSES'!E47</f>
        <v>1/2" MNPT</v>
      </c>
      <c r="U443" s="39" t="str">
        <f>'ACCESSORIES, HOSES'!F47</f>
        <v>Ind. Interchange- 1/4" body style</v>
      </c>
      <c r="V443" s="39">
        <v>1</v>
      </c>
    </row>
    <row r="444" spans="12:22" ht="14.4" hidden="1" customHeight="1">
      <c r="L444" s="36">
        <v>439</v>
      </c>
      <c r="M444" s="39">
        <f t="shared" si="69"/>
        <v>0</v>
      </c>
      <c r="N444" s="18"/>
      <c r="O444" s="41"/>
      <c r="Q444" s="12"/>
      <c r="R444" s="12"/>
      <c r="U444" s="2"/>
    </row>
    <row r="445" spans="12:22" ht="14.4" hidden="1" customHeight="1">
      <c r="L445" s="36">
        <v>440</v>
      </c>
      <c r="M445" s="39">
        <f t="shared" si="69"/>
        <v>0</v>
      </c>
      <c r="N445" s="5" t="s">
        <v>253</v>
      </c>
      <c r="O445" s="41"/>
      <c r="P445" s="39">
        <f>'ACCESSORIES, HOSES'!H59</f>
        <v>0</v>
      </c>
      <c r="Q445" s="98">
        <f>'ACCESSORIES, HOSES'!I59</f>
        <v>30.96</v>
      </c>
      <c r="R445" s="98">
        <f>'ACCESSORIES, HOSES'!K59</f>
        <v>0</v>
      </c>
      <c r="S445" s="39">
        <f>'ACCESSORIES, HOSES'!D59</f>
        <v>1310072290</v>
      </c>
      <c r="T445" s="39" t="str">
        <f>'ACCESSORIES, HOSES'!E59</f>
        <v xml:space="preserve">12 ft </v>
      </c>
      <c r="U445" s="39">
        <f>'ACCESSORIES, HOSES'!F59</f>
        <v>0</v>
      </c>
      <c r="V445" s="39">
        <v>1</v>
      </c>
    </row>
    <row r="446" spans="12:22" ht="14.4" hidden="1" customHeight="1">
      <c r="L446" s="36">
        <v>441</v>
      </c>
      <c r="M446" s="39">
        <f t="shared" si="69"/>
        <v>0</v>
      </c>
      <c r="N446" s="5" t="s">
        <v>256</v>
      </c>
      <c r="O446" s="41"/>
      <c r="P446" s="39">
        <f>'ACCESSORIES, HOSES'!H62</f>
        <v>0</v>
      </c>
      <c r="Q446" s="98">
        <f>'ACCESSORIES, HOSES'!I62</f>
        <v>0</v>
      </c>
      <c r="R446" s="98">
        <f>'ACCESSORIES, HOSES'!K62</f>
        <v>0</v>
      </c>
      <c r="S446" s="39">
        <f>'ACCESSORIES, HOSES'!D62</f>
        <v>0</v>
      </c>
      <c r="T446" s="39">
        <f>'ACCESSORIES, HOSES'!E62</f>
        <v>0</v>
      </c>
      <c r="U446" s="39">
        <f>'ACCESSORIES, HOSES'!F62</f>
        <v>0</v>
      </c>
      <c r="V446" s="39">
        <v>1</v>
      </c>
    </row>
    <row r="447" spans="12:22" ht="14.4" hidden="1" customHeight="1">
      <c r="L447" s="36">
        <v>442</v>
      </c>
      <c r="M447" s="39">
        <f t="shared" si="69"/>
        <v>0</v>
      </c>
      <c r="N447" s="5" t="s">
        <v>256</v>
      </c>
      <c r="O447" s="41"/>
      <c r="P447" s="39">
        <f>'ACCESSORIES, HOSES'!H63</f>
        <v>0</v>
      </c>
      <c r="Q447" s="98">
        <f>'ACCESSORIES, HOSES'!I63</f>
        <v>0</v>
      </c>
      <c r="R447" s="98">
        <f>'ACCESSORIES, HOSES'!K63</f>
        <v>0</v>
      </c>
      <c r="S447" s="39">
        <f>'ACCESSORIES, HOSES'!D63</f>
        <v>0</v>
      </c>
      <c r="T447" s="39">
        <f>'ACCESSORIES, HOSES'!E63</f>
        <v>0</v>
      </c>
      <c r="U447" s="39">
        <f>'ACCESSORIES, HOSES'!F63</f>
        <v>0</v>
      </c>
      <c r="V447" s="39">
        <v>1</v>
      </c>
    </row>
    <row r="448" spans="12:22" ht="14.4" hidden="1" customHeight="1">
      <c r="L448" s="36">
        <v>443</v>
      </c>
      <c r="M448" s="39">
        <f t="shared" si="69"/>
        <v>0</v>
      </c>
      <c r="N448" s="41"/>
      <c r="O448" s="41"/>
      <c r="P448" s="86">
        <f>'ACCESSORIES, HOSES'!H78</f>
        <v>0</v>
      </c>
      <c r="Q448" s="99">
        <f>'ACCESSORIES, HOSES'!I78</f>
        <v>0</v>
      </c>
      <c r="R448" s="99">
        <f>'ACCESSORIES, HOSES'!K78</f>
        <v>0</v>
      </c>
      <c r="S448" s="86">
        <f>'ACCESSORIES, HOSES'!D78</f>
        <v>0</v>
      </c>
      <c r="T448" s="86">
        <f>'ACCESSORIES, HOSES'!E78</f>
        <v>0</v>
      </c>
      <c r="U448" s="86">
        <f>'ACCESSORIES, HOSES'!F78</f>
        <v>0</v>
      </c>
      <c r="V448" s="86"/>
    </row>
    <row r="449" spans="12:22" ht="14.4" hidden="1" customHeight="1">
      <c r="L449" s="36">
        <v>444</v>
      </c>
      <c r="M449" s="39">
        <f t="shared" si="69"/>
        <v>0</v>
      </c>
      <c r="N449" s="5" t="s">
        <v>345</v>
      </c>
      <c r="O449" s="41"/>
      <c r="P449" s="168">
        <f>'Spare Parts'!H4</f>
        <v>0</v>
      </c>
      <c r="Q449" s="169">
        <f>'Spare Parts'!I4</f>
        <v>32.43</v>
      </c>
      <c r="R449" s="169">
        <f>'Spare Parts'!K4</f>
        <v>0</v>
      </c>
      <c r="S449" s="168">
        <f>'Spare Parts'!D4</f>
        <v>2811206510</v>
      </c>
      <c r="T449" s="168" t="str">
        <f>'Spare Parts'!E4</f>
        <v>25 / 1"</v>
      </c>
      <c r="U449" s="168" t="str">
        <f>'Spare Parts'!F4</f>
        <v>PF Quick Drop - Contour Seal</v>
      </c>
      <c r="V449" s="168">
        <v>10</v>
      </c>
    </row>
    <row r="450" spans="12:22" ht="14.4" hidden="1" customHeight="1">
      <c r="L450" s="36">
        <v>445</v>
      </c>
      <c r="M450" s="39">
        <f t="shared" si="69"/>
        <v>0</v>
      </c>
      <c r="N450" s="5" t="s">
        <v>345</v>
      </c>
      <c r="O450" s="41"/>
      <c r="P450" s="168">
        <f>'Spare Parts'!H5</f>
        <v>0</v>
      </c>
      <c r="Q450" s="169">
        <f>'Spare Parts'!I5</f>
        <v>25.59</v>
      </c>
      <c r="R450" s="169">
        <f>'Spare Parts'!K5</f>
        <v>0</v>
      </c>
      <c r="S450" s="168">
        <f>'Spare Parts'!D5</f>
        <v>2811406510</v>
      </c>
      <c r="T450" s="168" t="str">
        <f>'Spare Parts'!E5</f>
        <v>40-50 / 1 1/2"-2"</v>
      </c>
      <c r="U450" s="168" t="str">
        <f>'Spare Parts'!F5</f>
        <v>PF Quick Drop - Contour Seal</v>
      </c>
      <c r="V450" s="168">
        <v>10</v>
      </c>
    </row>
    <row r="451" spans="12:22" ht="14.4" hidden="1" customHeight="1">
      <c r="L451" s="36">
        <v>446</v>
      </c>
      <c r="M451" s="39">
        <f t="shared" si="69"/>
        <v>0</v>
      </c>
      <c r="N451" s="5" t="s">
        <v>345</v>
      </c>
      <c r="O451" s="41"/>
      <c r="P451" s="168">
        <f>'Spare Parts'!H6</f>
        <v>0</v>
      </c>
      <c r="Q451" s="169">
        <f>'Spare Parts'!I6</f>
        <v>13</v>
      </c>
      <c r="R451" s="169">
        <f>'Spare Parts'!K6</f>
        <v>0</v>
      </c>
      <c r="S451" s="168">
        <f>'Spare Parts'!D6</f>
        <v>2811606510</v>
      </c>
      <c r="T451" s="168" t="str">
        <f>'Spare Parts'!E6</f>
        <v>63-80 / 2 1/2"-3"</v>
      </c>
      <c r="U451" s="168" t="str">
        <f>'Spare Parts'!F6</f>
        <v>PF Quick Drop - Oring (std)</v>
      </c>
      <c r="V451" s="168">
        <v>10</v>
      </c>
    </row>
    <row r="452" spans="12:22" ht="14.4" hidden="1" customHeight="1">
      <c r="L452" s="36">
        <v>447</v>
      </c>
      <c r="M452" s="39">
        <f t="shared" si="69"/>
        <v>0</v>
      </c>
      <c r="N452" s="18"/>
      <c r="O452" s="41"/>
      <c r="P452" s="87"/>
      <c r="Q452" s="100"/>
      <c r="R452" s="100"/>
      <c r="S452" s="87"/>
      <c r="T452" s="87">
        <f>'Spare Parts'!E7</f>
        <v>0</v>
      </c>
      <c r="U452" s="87">
        <f>'Spare Parts'!F7</f>
        <v>0</v>
      </c>
      <c r="V452" s="87"/>
    </row>
    <row r="453" spans="12:22" ht="14.4" hidden="1" customHeight="1">
      <c r="L453" s="36">
        <v>448</v>
      </c>
      <c r="M453" s="39">
        <f t="shared" si="69"/>
        <v>0</v>
      </c>
      <c r="N453" s="5" t="s">
        <v>63</v>
      </c>
      <c r="O453" s="41"/>
      <c r="P453" s="39">
        <f>'Spare Parts'!H8</f>
        <v>0</v>
      </c>
      <c r="Q453" s="98" t="e">
        <f>'Spare Parts'!I8</f>
        <v>#REF!</v>
      </c>
      <c r="R453" s="98" t="e">
        <f>'Spare Parts'!K8</f>
        <v>#REF!</v>
      </c>
      <c r="S453" s="39">
        <f>'Spare Parts'!D8</f>
        <v>2810806010</v>
      </c>
      <c r="T453" s="39" t="str">
        <f>'Spare Parts'!E8</f>
        <v>100 /4"</v>
      </c>
      <c r="U453" s="39" t="str">
        <f>'Spare Parts'!F8</f>
        <v>Bolts &amp; clips for (4") equal socket</v>
      </c>
      <c r="V453" s="39">
        <v>10</v>
      </c>
    </row>
    <row r="454" spans="12:22" ht="14.4" hidden="1" customHeight="1">
      <c r="L454" s="36">
        <v>449</v>
      </c>
      <c r="M454" s="39">
        <f t="shared" si="69"/>
        <v>0</v>
      </c>
      <c r="N454" s="18"/>
      <c r="O454" s="41"/>
      <c r="P454" s="87">
        <f>'Spare Parts'!H9</f>
        <v>0</v>
      </c>
      <c r="Q454" s="100"/>
      <c r="R454" s="100"/>
      <c r="S454" s="87"/>
      <c r="T454" s="87">
        <f>'Spare Parts'!E9</f>
        <v>0</v>
      </c>
      <c r="U454" s="87">
        <f>'Spare Parts'!F9</f>
        <v>0</v>
      </c>
      <c r="V454" s="87"/>
    </row>
    <row r="455" spans="12:22" ht="14.4" hidden="1" customHeight="1">
      <c r="L455" s="36">
        <v>450</v>
      </c>
      <c r="M455" s="39">
        <f t="shared" si="69"/>
        <v>0</v>
      </c>
      <c r="N455" s="18"/>
      <c r="O455" s="41"/>
      <c r="P455" s="87">
        <f>'Spare Parts'!H10</f>
        <v>0</v>
      </c>
      <c r="Q455" s="100"/>
      <c r="R455" s="100"/>
      <c r="S455" s="87"/>
      <c r="T455" s="87">
        <f>'Spare Parts'!E10</f>
        <v>0</v>
      </c>
      <c r="U455" s="87">
        <f>'Spare Parts'!F10</f>
        <v>0</v>
      </c>
      <c r="V455" s="87"/>
    </row>
    <row r="456" spans="12:22" ht="14.4" hidden="1" customHeight="1">
      <c r="L456" s="36">
        <v>451</v>
      </c>
      <c r="M456" s="39">
        <f t="shared" si="69"/>
        <v>0</v>
      </c>
      <c r="N456" s="18"/>
      <c r="O456" s="41"/>
      <c r="P456" s="87">
        <f>'Spare Parts'!H11</f>
        <v>0</v>
      </c>
      <c r="Q456" s="100"/>
      <c r="R456" s="100"/>
      <c r="S456" s="87"/>
      <c r="T456" s="87">
        <f>'Spare Parts'!E11</f>
        <v>0</v>
      </c>
      <c r="U456" s="87">
        <f>'Spare Parts'!F11</f>
        <v>0</v>
      </c>
      <c r="V456" s="87"/>
    </row>
    <row r="457" spans="12:22" ht="14.4" hidden="1" customHeight="1">
      <c r="L457" s="36">
        <v>452</v>
      </c>
      <c r="M457" s="39">
        <f t="shared" si="69"/>
        <v>0</v>
      </c>
      <c r="N457" s="18"/>
      <c r="O457" s="41"/>
      <c r="P457" s="87">
        <f>'Spare Parts'!H12</f>
        <v>0</v>
      </c>
      <c r="Q457" s="100"/>
      <c r="R457" s="100"/>
      <c r="S457" s="87"/>
      <c r="T457" s="87">
        <f>'Spare Parts'!E12</f>
        <v>0</v>
      </c>
      <c r="U457" s="87">
        <f>'Spare Parts'!F12</f>
        <v>0</v>
      </c>
      <c r="V457" s="87"/>
    </row>
    <row r="458" spans="12:22" ht="14.4" hidden="1" customHeight="1">
      <c r="L458" s="36">
        <v>453</v>
      </c>
      <c r="M458" s="39">
        <f t="shared" si="69"/>
        <v>0</v>
      </c>
      <c r="N458" s="18"/>
      <c r="O458" s="41"/>
      <c r="P458" s="87">
        <f>'Spare Parts'!H13</f>
        <v>0</v>
      </c>
      <c r="Q458" s="100"/>
      <c r="R458" s="100"/>
      <c r="S458" s="87"/>
      <c r="T458" s="87">
        <f>'Spare Parts'!E13</f>
        <v>0</v>
      </c>
      <c r="U458" s="87">
        <f>'Spare Parts'!F13</f>
        <v>0</v>
      </c>
      <c r="V458" s="87"/>
    </row>
    <row r="459" spans="12:22" ht="14.4" hidden="1" customHeight="1">
      <c r="L459" s="36">
        <v>454</v>
      </c>
      <c r="M459" s="39">
        <f t="shared" si="69"/>
        <v>0</v>
      </c>
      <c r="N459" s="5" t="s">
        <v>220</v>
      </c>
      <c r="O459" s="41"/>
      <c r="P459" s="39">
        <f>'Spare Parts'!H14</f>
        <v>0</v>
      </c>
      <c r="Q459" s="98" t="e">
        <f>'Spare Parts'!I14</f>
        <v>#REF!</v>
      </c>
      <c r="R459" s="98" t="e">
        <f>'Spare Parts'!K14</f>
        <v>#REF!</v>
      </c>
      <c r="S459" s="39">
        <f>'Spare Parts'!D14</f>
        <v>2810826505</v>
      </c>
      <c r="T459" s="39" t="str">
        <f>'Spare Parts'!E14</f>
        <v>4"</v>
      </c>
      <c r="U459" s="39">
        <f>'Spare Parts'!F14</f>
        <v>0</v>
      </c>
      <c r="V459" s="39">
        <v>5</v>
      </c>
    </row>
    <row r="460" spans="12:22" ht="14.4" hidden="1" customHeight="1">
      <c r="L460" s="36">
        <v>455</v>
      </c>
      <c r="M460" s="39">
        <f t="shared" si="69"/>
        <v>0</v>
      </c>
      <c r="N460" s="5" t="s">
        <v>220</v>
      </c>
      <c r="O460" s="41"/>
      <c r="P460" s="39">
        <f>'Spare Parts'!H15</f>
        <v>0</v>
      </c>
      <c r="Q460" s="98" t="e">
        <f>'Spare Parts'!I15</f>
        <v>#REF!</v>
      </c>
      <c r="R460" s="98" t="e">
        <f>'Spare Parts'!K15</f>
        <v>#REF!</v>
      </c>
      <c r="S460" s="39">
        <f>'Spare Parts'!D15</f>
        <v>2810816505</v>
      </c>
      <c r="T460" s="39" t="str">
        <f>'Spare Parts'!E15</f>
        <v>4"</v>
      </c>
      <c r="U460" s="39" t="str">
        <f>'Spare Parts'!F15</f>
        <v>Vacuum Seal</v>
      </c>
      <c r="V460" s="39">
        <v>5</v>
      </c>
    </row>
    <row r="461" spans="12:22" ht="14.4" hidden="1" customHeight="1">
      <c r="L461" s="36">
        <v>456</v>
      </c>
      <c r="M461" s="39">
        <f t="shared" si="69"/>
        <v>0</v>
      </c>
      <c r="N461" s="41"/>
      <c r="O461" s="41"/>
      <c r="P461" s="86"/>
      <c r="Q461" s="97"/>
      <c r="R461" s="97"/>
      <c r="S461" s="86"/>
      <c r="T461" s="86"/>
      <c r="U461" s="41"/>
      <c r="V461" s="86"/>
    </row>
    <row r="462" spans="12:22" ht="14.4" hidden="1" customHeight="1">
      <c r="L462" s="36">
        <v>457</v>
      </c>
      <c r="M462" s="39">
        <f t="shared" si="69"/>
        <v>0</v>
      </c>
    </row>
    <row r="463" spans="12:22" ht="14.4" hidden="1" customHeight="1">
      <c r="L463" s="36">
        <v>458</v>
      </c>
      <c r="M463" s="39">
        <f t="shared" si="69"/>
        <v>0</v>
      </c>
    </row>
    <row r="464" spans="12:22" ht="14.4" hidden="1" customHeight="1">
      <c r="L464" s="36">
        <v>459</v>
      </c>
      <c r="M464" s="39">
        <f t="shared" si="69"/>
        <v>0</v>
      </c>
    </row>
    <row r="465" spans="12:13" ht="14.4" hidden="1" customHeight="1">
      <c r="L465" s="36">
        <v>460</v>
      </c>
      <c r="M465" s="39">
        <f t="shared" ref="M465:M504" si="70">IF(P465&gt;0,M464+1,M464)</f>
        <v>0</v>
      </c>
    </row>
    <row r="466" spans="12:13" ht="14.4" hidden="1" customHeight="1">
      <c r="L466" s="36">
        <v>461</v>
      </c>
      <c r="M466" s="39">
        <f t="shared" si="70"/>
        <v>0</v>
      </c>
    </row>
    <row r="467" spans="12:13" ht="14.4" hidden="1" customHeight="1">
      <c r="L467" s="36">
        <v>462</v>
      </c>
      <c r="M467" s="39">
        <f t="shared" si="70"/>
        <v>0</v>
      </c>
    </row>
    <row r="468" spans="12:13" ht="14.4" hidden="1" customHeight="1">
      <c r="L468" s="36">
        <v>463</v>
      </c>
      <c r="M468" s="39">
        <f t="shared" si="70"/>
        <v>0</v>
      </c>
    </row>
    <row r="469" spans="12:13" ht="14.4" hidden="1" customHeight="1">
      <c r="L469" s="36">
        <v>464</v>
      </c>
      <c r="M469" s="39">
        <f t="shared" si="70"/>
        <v>0</v>
      </c>
    </row>
    <row r="470" spans="12:13" ht="14.4" hidden="1" customHeight="1">
      <c r="L470" s="36">
        <v>465</v>
      </c>
      <c r="M470" s="39">
        <f t="shared" si="70"/>
        <v>0</v>
      </c>
    </row>
    <row r="471" spans="12:13" ht="14.4" hidden="1" customHeight="1">
      <c r="L471" s="36">
        <v>466</v>
      </c>
      <c r="M471" s="39">
        <f t="shared" si="70"/>
        <v>0</v>
      </c>
    </row>
    <row r="472" spans="12:13" ht="14.4" hidden="1" customHeight="1">
      <c r="L472" s="36">
        <v>467</v>
      </c>
      <c r="M472" s="39">
        <f t="shared" si="70"/>
        <v>0</v>
      </c>
    </row>
    <row r="473" spans="12:13" ht="14.4" hidden="1" customHeight="1">
      <c r="L473" s="36">
        <v>468</v>
      </c>
      <c r="M473" s="39">
        <f t="shared" si="70"/>
        <v>0</v>
      </c>
    </row>
    <row r="474" spans="12:13" ht="14.4" hidden="1" customHeight="1">
      <c r="L474" s="36">
        <v>469</v>
      </c>
      <c r="M474" s="39">
        <f t="shared" si="70"/>
        <v>0</v>
      </c>
    </row>
    <row r="475" spans="12:13" ht="14.4" hidden="1" customHeight="1">
      <c r="L475" s="36">
        <v>470</v>
      </c>
      <c r="M475" s="39">
        <f t="shared" si="70"/>
        <v>0</v>
      </c>
    </row>
    <row r="476" spans="12:13" ht="14.4" hidden="1" customHeight="1">
      <c r="L476" s="36">
        <v>471</v>
      </c>
      <c r="M476" s="39">
        <f t="shared" si="70"/>
        <v>0</v>
      </c>
    </row>
    <row r="477" spans="12:13" ht="14.4" hidden="1" customHeight="1">
      <c r="L477" s="36">
        <v>472</v>
      </c>
      <c r="M477" s="39">
        <f t="shared" si="70"/>
        <v>0</v>
      </c>
    </row>
    <row r="478" spans="12:13" ht="14.4" hidden="1" customHeight="1">
      <c r="L478" s="36">
        <v>473</v>
      </c>
      <c r="M478" s="39">
        <f t="shared" si="70"/>
        <v>0</v>
      </c>
    </row>
    <row r="479" spans="12:13" ht="14.4" hidden="1" customHeight="1">
      <c r="L479" s="36">
        <v>474</v>
      </c>
      <c r="M479" s="39">
        <f t="shared" si="70"/>
        <v>0</v>
      </c>
    </row>
    <row r="480" spans="12:13" ht="14.4" hidden="1" customHeight="1">
      <c r="L480" s="36">
        <v>475</v>
      </c>
      <c r="M480" s="39">
        <f t="shared" si="70"/>
        <v>0</v>
      </c>
    </row>
    <row r="481" spans="12:13" ht="14.4" hidden="1" customHeight="1">
      <c r="L481" s="36">
        <v>476</v>
      </c>
      <c r="M481" s="39">
        <f t="shared" si="70"/>
        <v>0</v>
      </c>
    </row>
    <row r="482" spans="12:13" ht="14.4" hidden="1" customHeight="1">
      <c r="L482" s="36">
        <v>477</v>
      </c>
      <c r="M482" s="39">
        <f t="shared" si="70"/>
        <v>0</v>
      </c>
    </row>
    <row r="483" spans="12:13" ht="14.4" hidden="1" customHeight="1">
      <c r="L483" s="36">
        <v>478</v>
      </c>
      <c r="M483" s="39">
        <f t="shared" si="70"/>
        <v>0</v>
      </c>
    </row>
    <row r="484" spans="12:13" ht="14.4" hidden="1" customHeight="1">
      <c r="L484" s="36">
        <v>479</v>
      </c>
      <c r="M484" s="39">
        <f t="shared" si="70"/>
        <v>0</v>
      </c>
    </row>
    <row r="485" spans="12:13" ht="14.4" hidden="1" customHeight="1">
      <c r="L485" s="36">
        <v>480</v>
      </c>
      <c r="M485" s="39">
        <f t="shared" si="70"/>
        <v>0</v>
      </c>
    </row>
    <row r="486" spans="12:13" ht="14.4" hidden="1" customHeight="1">
      <c r="L486" s="36">
        <v>481</v>
      </c>
      <c r="M486" s="39">
        <f t="shared" si="70"/>
        <v>0</v>
      </c>
    </row>
    <row r="487" spans="12:13" ht="14.4" hidden="1" customHeight="1">
      <c r="L487" s="36">
        <v>482</v>
      </c>
      <c r="M487" s="39">
        <f t="shared" si="70"/>
        <v>0</v>
      </c>
    </row>
    <row r="488" spans="12:13" ht="14.4" hidden="1" customHeight="1">
      <c r="L488" s="36">
        <v>483</v>
      </c>
      <c r="M488" s="39">
        <f t="shared" si="70"/>
        <v>0</v>
      </c>
    </row>
    <row r="489" spans="12:13" ht="14.4" hidden="1" customHeight="1">
      <c r="L489" s="36">
        <v>484</v>
      </c>
      <c r="M489" s="39">
        <f t="shared" si="70"/>
        <v>0</v>
      </c>
    </row>
    <row r="490" spans="12:13" ht="14.4" hidden="1" customHeight="1">
      <c r="L490" s="36">
        <v>485</v>
      </c>
      <c r="M490" s="39">
        <f t="shared" si="70"/>
        <v>0</v>
      </c>
    </row>
    <row r="491" spans="12:13" ht="14.4" hidden="1" customHeight="1">
      <c r="L491" s="36">
        <v>486</v>
      </c>
      <c r="M491" s="39">
        <f t="shared" si="70"/>
        <v>0</v>
      </c>
    </row>
    <row r="492" spans="12:13" ht="14.4" hidden="1" customHeight="1">
      <c r="L492" s="36">
        <v>487</v>
      </c>
      <c r="M492" s="39">
        <f t="shared" si="70"/>
        <v>0</v>
      </c>
    </row>
    <row r="493" spans="12:13" ht="14.4" hidden="1" customHeight="1">
      <c r="L493" s="36">
        <v>488</v>
      </c>
      <c r="M493" s="39">
        <f t="shared" si="70"/>
        <v>0</v>
      </c>
    </row>
    <row r="494" spans="12:13" ht="14.4" hidden="1" customHeight="1">
      <c r="L494" s="36">
        <v>489</v>
      </c>
      <c r="M494" s="39">
        <f t="shared" si="70"/>
        <v>0</v>
      </c>
    </row>
    <row r="495" spans="12:13" ht="14.4" hidden="1" customHeight="1">
      <c r="L495" s="36">
        <v>490</v>
      </c>
      <c r="M495" s="39">
        <f t="shared" si="70"/>
        <v>0</v>
      </c>
    </row>
    <row r="496" spans="12:13" ht="14.4" hidden="1" customHeight="1">
      <c r="L496" s="36">
        <v>491</v>
      </c>
      <c r="M496" s="39">
        <f t="shared" si="70"/>
        <v>0</v>
      </c>
    </row>
    <row r="497" spans="12:13" ht="14.4" hidden="1" customHeight="1">
      <c r="L497" s="36">
        <v>492</v>
      </c>
      <c r="M497" s="39">
        <f t="shared" si="70"/>
        <v>0</v>
      </c>
    </row>
    <row r="498" spans="12:13" ht="14.4" hidden="1" customHeight="1">
      <c r="L498" s="36">
        <v>493</v>
      </c>
      <c r="M498" s="39">
        <f t="shared" si="70"/>
        <v>0</v>
      </c>
    </row>
    <row r="499" spans="12:13" ht="14.4" hidden="1" customHeight="1">
      <c r="L499" s="36">
        <v>494</v>
      </c>
      <c r="M499" s="39">
        <f t="shared" si="70"/>
        <v>0</v>
      </c>
    </row>
    <row r="500" spans="12:13" ht="14.4" hidden="1" customHeight="1">
      <c r="L500" s="36">
        <v>495</v>
      </c>
      <c r="M500" s="39">
        <f t="shared" si="70"/>
        <v>0</v>
      </c>
    </row>
    <row r="501" spans="12:13" ht="14.4" hidden="1" customHeight="1">
      <c r="L501" s="36">
        <v>496</v>
      </c>
      <c r="M501" s="39">
        <f t="shared" si="70"/>
        <v>0</v>
      </c>
    </row>
    <row r="502" spans="12:13" ht="14.4" hidden="1" customHeight="1">
      <c r="L502" s="36">
        <v>497</v>
      </c>
      <c r="M502" s="39">
        <f t="shared" si="70"/>
        <v>0</v>
      </c>
    </row>
    <row r="503" spans="12:13" ht="14.4" hidden="1" customHeight="1">
      <c r="L503" s="36">
        <v>498</v>
      </c>
      <c r="M503" s="39">
        <f t="shared" si="70"/>
        <v>0</v>
      </c>
    </row>
    <row r="504" spans="12:13" ht="14.4" hidden="1" customHeight="1">
      <c r="L504" s="36">
        <v>499</v>
      </c>
      <c r="M504" s="39">
        <f t="shared" si="70"/>
        <v>0</v>
      </c>
    </row>
    <row r="505" spans="12:13" ht="14.4" hidden="1" customHeight="1">
      <c r="L505" s="36">
        <v>500</v>
      </c>
      <c r="M505" s="39">
        <f t="shared" ref="M505:M518" si="71">IF(P505&gt;0,M504+1,M504)</f>
        <v>0</v>
      </c>
    </row>
    <row r="506" spans="12:13" ht="14.4" hidden="1" customHeight="1">
      <c r="L506" s="36">
        <v>501</v>
      </c>
      <c r="M506" s="39">
        <f t="shared" si="71"/>
        <v>0</v>
      </c>
    </row>
    <row r="507" spans="12:13" ht="14.4" hidden="1" customHeight="1">
      <c r="L507" s="36">
        <v>502</v>
      </c>
      <c r="M507" s="39">
        <f t="shared" si="71"/>
        <v>0</v>
      </c>
    </row>
    <row r="508" spans="12:13" ht="14.4" hidden="1" customHeight="1">
      <c r="L508" s="36">
        <v>503</v>
      </c>
      <c r="M508" s="39">
        <f t="shared" si="71"/>
        <v>0</v>
      </c>
    </row>
    <row r="509" spans="12:13" ht="14.4" hidden="1" customHeight="1">
      <c r="L509" s="36">
        <v>504</v>
      </c>
      <c r="M509" s="39">
        <f t="shared" si="71"/>
        <v>0</v>
      </c>
    </row>
    <row r="510" spans="12:13" ht="14.4" hidden="1" customHeight="1">
      <c r="L510" s="36">
        <v>505</v>
      </c>
      <c r="M510" s="39">
        <f t="shared" si="71"/>
        <v>0</v>
      </c>
    </row>
    <row r="511" spans="12:13" ht="14.4" hidden="1" customHeight="1">
      <c r="L511" s="36">
        <v>506</v>
      </c>
      <c r="M511" s="39">
        <f t="shared" si="71"/>
        <v>0</v>
      </c>
    </row>
    <row r="512" spans="12:13" ht="14.4" hidden="1" customHeight="1">
      <c r="L512" s="36">
        <v>507</v>
      </c>
      <c r="M512" s="39">
        <f t="shared" si="71"/>
        <v>0</v>
      </c>
    </row>
    <row r="513" spans="12:13" ht="14.4" hidden="1" customHeight="1">
      <c r="L513" s="36">
        <v>508</v>
      </c>
      <c r="M513" s="39">
        <f t="shared" si="71"/>
        <v>0</v>
      </c>
    </row>
    <row r="514" spans="12:13" ht="14.4" hidden="1" customHeight="1">
      <c r="L514" s="36">
        <v>509</v>
      </c>
      <c r="M514" s="39">
        <f t="shared" si="71"/>
        <v>0</v>
      </c>
    </row>
    <row r="515" spans="12:13" ht="14.4" hidden="1" customHeight="1">
      <c r="L515" s="36">
        <v>510</v>
      </c>
      <c r="M515" s="39">
        <f t="shared" si="71"/>
        <v>0</v>
      </c>
    </row>
    <row r="516" spans="12:13" ht="14.4" hidden="1" customHeight="1">
      <c r="L516" s="36">
        <v>511</v>
      </c>
      <c r="M516" s="39">
        <f t="shared" si="71"/>
        <v>0</v>
      </c>
    </row>
    <row r="517" spans="12:13" ht="14.4" hidden="1" customHeight="1">
      <c r="L517" s="36">
        <v>512</v>
      </c>
      <c r="M517" s="39">
        <f t="shared" si="71"/>
        <v>0</v>
      </c>
    </row>
    <row r="518" spans="12:13" ht="14.4" hidden="1" customHeight="1">
      <c r="L518" s="36">
        <v>513</v>
      </c>
      <c r="M518" s="39">
        <f t="shared" si="71"/>
        <v>0</v>
      </c>
    </row>
  </sheetData>
  <sheetProtection algorithmName="SHA-512" hashValue="crOMcTGjOi0AbeoZEfzMRB6gcnrVosaOJdEaDXIGCKAQsT6kyNj5Cgyx8Ur15Zgb/0oFh+qvGxsMy6LpvGhnQg==" saltValue="xC+kSJ6Q3XOkbbx/AFw88w==" spinCount="100000" sheet="1" objects="1" scenarios="1" selectLockedCells="1"/>
  <mergeCells count="3">
    <mergeCell ref="A3:D3"/>
    <mergeCell ref="H3:I3"/>
    <mergeCell ref="B5:I5"/>
  </mergeCells>
  <conditionalFormatting sqref="E2:E4 F2 K2:K3 F4 J2 J4">
    <cfRule type="expression" dxfId="61" priority="1">
      <formula>"G3&gt;0"</formula>
    </cfRule>
  </conditionalFormatting>
  <pageMargins left="0.7" right="0.7" top="0.75" bottom="0.75" header="0.3" footer="0.3"/>
  <pageSetup scale="70" fitToHeight="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5"/>
  </sheetPr>
  <dimension ref="A1:N28"/>
  <sheetViews>
    <sheetView showGridLines="0" showRowColHeader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14.4" customHeight="1" zeroHeight="1"/>
  <cols>
    <col min="1" max="1" width="0.90625" hidden="1" customWidth="1"/>
    <col min="2" max="3" width="25.81640625" style="1" customWidth="1"/>
    <col min="4" max="4" width="14.81640625" style="2" customWidth="1"/>
    <col min="5" max="5" width="20.81640625" customWidth="1"/>
    <col min="6" max="6" width="28.81640625" customWidth="1"/>
    <col min="7" max="7" width="9.81640625" customWidth="1"/>
    <col min="8" max="8" width="11.81640625" style="24" customWidth="1"/>
    <col min="9" max="9" width="14" style="13" bestFit="1" customWidth="1"/>
    <col min="10" max="10" width="12.81640625" style="13" bestFit="1" customWidth="1"/>
    <col min="11" max="11" width="13.81640625" customWidth="1"/>
    <col min="12" max="14" width="8.90625" hidden="1" customWidth="1"/>
    <col min="15" max="16384" width="8.7265625" hidden="1"/>
  </cols>
  <sheetData>
    <row r="1" spans="1:14" ht="54" customHeight="1">
      <c r="A1" s="132"/>
      <c r="B1" s="134"/>
      <c r="C1" s="135"/>
      <c r="D1" s="367" t="s">
        <v>284</v>
      </c>
      <c r="E1" s="367"/>
      <c r="F1" s="367"/>
      <c r="G1" s="367"/>
      <c r="H1" s="22" t="s">
        <v>283</v>
      </c>
      <c r="I1" s="8"/>
      <c r="J1" s="8"/>
    </row>
    <row r="2" spans="1:14" ht="18" customHeight="1">
      <c r="A2" s="61"/>
      <c r="B2" s="3" t="s">
        <v>0</v>
      </c>
      <c r="C2" s="3" t="s">
        <v>14</v>
      </c>
      <c r="D2" s="4" t="s">
        <v>304</v>
      </c>
      <c r="E2" s="4" t="s">
        <v>347</v>
      </c>
      <c r="F2" s="128" t="s">
        <v>89</v>
      </c>
      <c r="G2" s="4" t="s">
        <v>53</v>
      </c>
      <c r="H2" s="27" t="s">
        <v>207</v>
      </c>
      <c r="I2" s="311" t="s">
        <v>1824</v>
      </c>
      <c r="J2" s="20" t="s">
        <v>1823</v>
      </c>
      <c r="K2" s="4" t="s">
        <v>266</v>
      </c>
    </row>
    <row r="3" spans="1:14" ht="14.4" customHeight="1">
      <c r="A3" s="62"/>
      <c r="B3" s="5" t="s">
        <v>15</v>
      </c>
      <c r="C3" s="5" t="s">
        <v>16</v>
      </c>
      <c r="E3" s="17" t="s">
        <v>32</v>
      </c>
      <c r="G3" s="19"/>
      <c r="H3" s="23"/>
      <c r="K3" s="25"/>
    </row>
    <row r="4" spans="1:14" ht="14.4" customHeight="1">
      <c r="D4" s="330">
        <v>2811100000</v>
      </c>
      <c r="E4" s="16" t="s">
        <v>2</v>
      </c>
      <c r="F4" s="16" t="s">
        <v>487</v>
      </c>
      <c r="G4" s="2">
        <v>1</v>
      </c>
      <c r="H4" s="312"/>
      <c r="I4" s="316">
        <f>VLOOKUP(Table32[[#This Row],[Part Number]],'2023 Pricing Rework'!$B$31:$F$754,5,FALSE)</f>
        <v>52.83</v>
      </c>
      <c r="J4" s="13">
        <f>VLOOKUP(Table32[[#This Row],[Part Number]],'2023 Pricing Rework'!$B$31:$F$754,4,FALSE)</f>
        <v>70.440000000000012</v>
      </c>
      <c r="K4" s="25">
        <f>Table32[[#This Row],[Your Price]]*Table32[[#This Row],[Qty]]</f>
        <v>0</v>
      </c>
    </row>
    <row r="5" spans="1:14" ht="14.4" customHeight="1">
      <c r="D5" s="330">
        <v>2811200000</v>
      </c>
      <c r="E5" s="16" t="s">
        <v>3</v>
      </c>
      <c r="F5" s="16" t="s">
        <v>487</v>
      </c>
      <c r="G5" s="2">
        <v>1</v>
      </c>
      <c r="H5" s="312"/>
      <c r="I5" s="316">
        <f>VLOOKUP(Table32[[#This Row],[Part Number]],'2023 Pricing Rework'!$B$31:$F$754,5,FALSE)</f>
        <v>81.260000000000005</v>
      </c>
      <c r="J5" s="13">
        <f>VLOOKUP(Table32[[#This Row],[Part Number]],'2023 Pricing Rework'!$B$31:$F$754,4,FALSE)</f>
        <v>108.35000000000001</v>
      </c>
      <c r="K5" s="25">
        <f>Table32[[#This Row],[Your Price]]*Table32[[#This Row],[Qty]]</f>
        <v>0</v>
      </c>
    </row>
    <row r="6" spans="1:14" ht="14.4" customHeight="1">
      <c r="D6" s="330">
        <v>2811400000</v>
      </c>
      <c r="E6" s="16" t="s">
        <v>4</v>
      </c>
      <c r="F6" s="16" t="s">
        <v>487</v>
      </c>
      <c r="G6" s="2">
        <v>1</v>
      </c>
      <c r="H6" s="312"/>
      <c r="I6" s="316">
        <f>VLOOKUP(Table32[[#This Row],[Part Number]],'2023 Pricing Rework'!$B$31:$F$754,5,FALSE)</f>
        <v>120.92</v>
      </c>
      <c r="J6" s="13">
        <f>VLOOKUP(Table32[[#This Row],[Part Number]],'2023 Pricing Rework'!$B$31:$F$754,4,FALSE)</f>
        <v>161.22999999999999</v>
      </c>
      <c r="K6" s="25">
        <f>Table32[[#This Row],[Your Price]]*Table32[[#This Row],[Qty]]</f>
        <v>0</v>
      </c>
    </row>
    <row r="7" spans="1:14" ht="14.4" customHeight="1">
      <c r="D7" s="330">
        <v>2811500000</v>
      </c>
      <c r="E7" s="16" t="s">
        <v>5</v>
      </c>
      <c r="F7" s="16" t="s">
        <v>487</v>
      </c>
      <c r="G7" s="2">
        <v>1</v>
      </c>
      <c r="H7" s="312"/>
      <c r="I7" s="316">
        <f>VLOOKUP(Table32[[#This Row],[Part Number]],'2023 Pricing Rework'!$B$31:$F$754,5,FALSE)</f>
        <v>154.22999999999999</v>
      </c>
      <c r="J7" s="13">
        <f>VLOOKUP(Table32[[#This Row],[Part Number]],'2023 Pricing Rework'!$B$31:$F$754,4,FALSE)</f>
        <v>205.64</v>
      </c>
      <c r="K7" s="25">
        <f>Table32[[#This Row],[Your Price]]*Table32[[#This Row],[Qty]]</f>
        <v>0</v>
      </c>
    </row>
    <row r="8" spans="1:14" ht="14.4" customHeight="1">
      <c r="D8" s="330">
        <v>2811600000</v>
      </c>
      <c r="E8" s="16" t="s">
        <v>6</v>
      </c>
      <c r="F8" s="16" t="s">
        <v>487</v>
      </c>
      <c r="G8" s="2">
        <v>1</v>
      </c>
      <c r="H8" s="312"/>
      <c r="I8" s="316">
        <f>VLOOKUP(Table32[[#This Row],[Part Number]],'2023 Pricing Rework'!$B$31:$F$754,5,FALSE)</f>
        <v>197.64</v>
      </c>
      <c r="J8" s="13">
        <f>VLOOKUP(Table32[[#This Row],[Part Number]],'2023 Pricing Rework'!$B$31:$F$754,4,FALSE)</f>
        <v>263.52</v>
      </c>
      <c r="K8" s="25">
        <f>Table32[[#This Row],[Your Price]]*Table32[[#This Row],[Qty]]</f>
        <v>0</v>
      </c>
    </row>
    <row r="9" spans="1:14" ht="14.4" customHeight="1">
      <c r="D9" s="330">
        <v>2811700000</v>
      </c>
      <c r="E9" s="16" t="s">
        <v>7</v>
      </c>
      <c r="F9" s="16" t="s">
        <v>487</v>
      </c>
      <c r="G9" s="2">
        <v>1</v>
      </c>
      <c r="H9" s="312"/>
      <c r="I9" s="316">
        <f>VLOOKUP(Table32[[#This Row],[Part Number]],'2023 Pricing Rework'!$B$31:$F$754,5,FALSE)</f>
        <v>259.88</v>
      </c>
      <c r="J9" s="13">
        <f>VLOOKUP(Table32[[#This Row],[Part Number]],'2023 Pricing Rework'!$B$31:$F$754,4,FALSE)</f>
        <v>346.51</v>
      </c>
      <c r="K9" s="25">
        <f>Table32[[#This Row],[Your Price]]*Table32[[#This Row],[Qty]]</f>
        <v>0</v>
      </c>
    </row>
    <row r="10" spans="1:14" ht="14.4" customHeight="1">
      <c r="D10" s="330">
        <v>2811800000</v>
      </c>
      <c r="E10" s="16" t="s">
        <v>9</v>
      </c>
      <c r="F10" s="16" t="s">
        <v>487</v>
      </c>
      <c r="G10" s="2">
        <v>1</v>
      </c>
      <c r="H10" s="312"/>
      <c r="I10" s="316">
        <f>VLOOKUP(Table32[[#This Row],[Part Number]],'2023 Pricing Rework'!$B$31:$F$754,5,FALSE)</f>
        <v>327.60000000000002</v>
      </c>
      <c r="J10" s="13">
        <f>VLOOKUP(Table32[[#This Row],[Part Number]],'2023 Pricing Rework'!$B$31:$F$754,4,FALSE)</f>
        <v>436.8</v>
      </c>
      <c r="K10" s="25">
        <f>Table32[[#This Row],[Your Price]]*Table32[[#This Row],[Qty]]</f>
        <v>0</v>
      </c>
    </row>
    <row r="11" spans="1:14" ht="14.4" customHeight="1">
      <c r="D11" s="330">
        <v>2811900000</v>
      </c>
      <c r="E11" s="16" t="s">
        <v>10</v>
      </c>
      <c r="F11" s="16" t="s">
        <v>487</v>
      </c>
      <c r="G11" s="2">
        <v>1</v>
      </c>
      <c r="H11" s="312"/>
      <c r="I11" s="316">
        <f>VLOOKUP(Table32[[#This Row],[Part Number]],'2023 Pricing Rework'!$B$31:$F$754,5,FALSE)</f>
        <v>674.45</v>
      </c>
      <c r="J11" s="13">
        <f>VLOOKUP(Table32[[#This Row],[Part Number]],'2023 Pricing Rework'!$B$31:$F$754,4,FALSE)</f>
        <v>899.27</v>
      </c>
      <c r="K11" s="25">
        <f>Table32[[#This Row],[Your Price]]*Table32[[#This Row],[Qty]]</f>
        <v>0</v>
      </c>
    </row>
    <row r="12" spans="1:14" ht="14.4" customHeight="1">
      <c r="D12" s="330"/>
      <c r="E12" s="16"/>
      <c r="F12" s="16"/>
      <c r="G12" s="2"/>
      <c r="H12" s="23"/>
      <c r="K12" s="31"/>
    </row>
    <row r="13" spans="1:14" ht="14.4" customHeight="1">
      <c r="C13" s="5" t="s">
        <v>279</v>
      </c>
      <c r="D13" s="330"/>
      <c r="E13" s="16"/>
      <c r="F13" s="16"/>
      <c r="G13" s="2"/>
      <c r="H13" s="23"/>
      <c r="K13" s="12"/>
    </row>
    <row r="14" spans="1:14" ht="14.4" customHeight="1">
      <c r="D14" s="330">
        <v>2811106100</v>
      </c>
      <c r="E14" t="s">
        <v>2</v>
      </c>
      <c r="F14" s="16" t="s">
        <v>487</v>
      </c>
      <c r="G14" s="2">
        <v>1</v>
      </c>
      <c r="H14" s="312"/>
      <c r="I14" s="316">
        <f>VLOOKUP(Table32[[#This Row],[Part Number]],'2023 Pricing Rework'!$B$31:$F$754,5,FALSE)</f>
        <v>47.84</v>
      </c>
      <c r="J14" s="13">
        <f>VLOOKUP(Table32[[#This Row],[Part Number]],'2023 Pricing Rework'!$B$31:$F$754,4,FALSE)</f>
        <v>63.79</v>
      </c>
      <c r="K14" s="25">
        <f>Table32[[#This Row],[Your Price]]*Table32[[#This Row],[Qty]]</f>
        <v>0</v>
      </c>
      <c r="N14" s="21"/>
    </row>
    <row r="15" spans="1:14" ht="14.4" customHeight="1">
      <c r="D15" s="330">
        <v>2811206100</v>
      </c>
      <c r="E15" t="s">
        <v>3</v>
      </c>
      <c r="F15" s="16" t="s">
        <v>487</v>
      </c>
      <c r="G15" s="2">
        <v>1</v>
      </c>
      <c r="H15" s="312"/>
      <c r="I15" s="316">
        <f>VLOOKUP(Table32[[#This Row],[Part Number]],'2023 Pricing Rework'!$B$31:$F$754,5,FALSE)</f>
        <v>82.43</v>
      </c>
      <c r="J15" s="13">
        <f>VLOOKUP(Table32[[#This Row],[Part Number]],'2023 Pricing Rework'!$B$31:$F$754,4,FALSE)</f>
        <v>109.9</v>
      </c>
      <c r="K15" s="25">
        <f>Table32[[#This Row],[Your Price]]*Table32[[#This Row],[Qty]]</f>
        <v>0</v>
      </c>
    </row>
    <row r="16" spans="1:14" ht="53.5" customHeight="1">
      <c r="D16" s="330"/>
      <c r="F16" s="233" t="s">
        <v>1752</v>
      </c>
      <c r="G16" s="2"/>
      <c r="H16" s="23"/>
      <c r="I16" s="12"/>
      <c r="J16" s="12"/>
      <c r="K16" s="13"/>
    </row>
    <row r="17" spans="3:11" ht="14.4" customHeight="1">
      <c r="C17" s="5" t="s">
        <v>1751</v>
      </c>
      <c r="D17" s="330"/>
      <c r="F17" s="2" t="s">
        <v>1753</v>
      </c>
      <c r="G17" s="2"/>
      <c r="H17" s="23"/>
      <c r="I17" s="12"/>
      <c r="J17" s="12"/>
      <c r="K17" s="13"/>
    </row>
    <row r="18" spans="3:11" ht="14.4" customHeight="1">
      <c r="D18" s="330"/>
      <c r="F18" s="16"/>
      <c r="G18" s="2"/>
      <c r="H18" s="23"/>
      <c r="K18" s="13"/>
    </row>
    <row r="19" spans="3:11" ht="14.4" customHeight="1">
      <c r="D19" s="330"/>
      <c r="E19" s="16"/>
      <c r="F19" s="16"/>
      <c r="G19" s="2"/>
      <c r="H19" s="23"/>
      <c r="K19" s="13"/>
    </row>
    <row r="20" spans="3:11" ht="34.5" customHeight="1">
      <c r="C20" s="19"/>
      <c r="D20" s="330"/>
      <c r="F20" s="16"/>
      <c r="G20" s="2"/>
      <c r="H20" s="23"/>
      <c r="K20" s="13"/>
    </row>
    <row r="21" spans="3:11" ht="14" customHeight="1">
      <c r="C21" s="5" t="s">
        <v>8</v>
      </c>
      <c r="D21" s="330"/>
      <c r="F21" s="19" t="s">
        <v>55</v>
      </c>
      <c r="G21" s="19"/>
      <c r="H21" s="23"/>
      <c r="K21" s="25"/>
    </row>
    <row r="22" spans="3:11" ht="29">
      <c r="D22" s="330">
        <v>2811106705</v>
      </c>
      <c r="E22" t="s">
        <v>2</v>
      </c>
      <c r="F22" s="127" t="s">
        <v>1121</v>
      </c>
      <c r="G22" s="315">
        <v>5</v>
      </c>
      <c r="H22" s="313"/>
      <c r="I22" s="316">
        <f>VLOOKUP(Table32[[#This Row],[Part Number]],'2023 Pricing Rework'!$B$31:$F$754,5,FALSE)</f>
        <v>26.95</v>
      </c>
      <c r="J22" s="13">
        <f>VLOOKUP(Table32[[#This Row],[Part Number]],'2023 Pricing Rework'!$B$31:$F$754,4,FALSE)</f>
        <v>35.93</v>
      </c>
      <c r="K22" s="25">
        <f>Table32[[#This Row],[Your Price]]*Table32[[#This Row],[Qty]]</f>
        <v>0</v>
      </c>
    </row>
    <row r="23" spans="3:11" ht="29">
      <c r="D23" s="330">
        <v>2811206705</v>
      </c>
      <c r="E23" t="s">
        <v>3</v>
      </c>
      <c r="F23" s="127" t="s">
        <v>1122</v>
      </c>
      <c r="G23" s="314">
        <v>5</v>
      </c>
      <c r="H23" s="312"/>
      <c r="I23" s="316">
        <f>VLOOKUP(Table32[[#This Row],[Part Number]],'2023 Pricing Rework'!$B$31:$F$754,5,FALSE)</f>
        <v>78.41</v>
      </c>
      <c r="J23" s="13">
        <f>VLOOKUP(Table32[[#This Row],[Part Number]],'2023 Pricing Rework'!$B$31:$F$754,4,FALSE)</f>
        <v>104.55000000000001</v>
      </c>
      <c r="K23" s="25">
        <f>Table32[[#This Row],[Your Price]]*Table32[[#This Row],[Qty]]</f>
        <v>0</v>
      </c>
    </row>
    <row r="24" spans="3:11" ht="59.5" customHeight="1">
      <c r="D24" s="330"/>
      <c r="F24" s="59"/>
      <c r="G24" s="2"/>
      <c r="H24" s="23"/>
      <c r="I24" s="12"/>
      <c r="J24" s="12"/>
      <c r="K24" s="25"/>
    </row>
    <row r="25" spans="3:11" ht="14.5" hidden="1">
      <c r="F25" s="161"/>
      <c r="G25" s="2"/>
      <c r="H25" s="23"/>
      <c r="I25" s="12"/>
      <c r="J25" s="12"/>
      <c r="K25" s="25"/>
    </row>
    <row r="26" spans="3:11" ht="14.5" hidden="1">
      <c r="F26" s="161"/>
      <c r="G26" s="2"/>
      <c r="H26" s="23"/>
      <c r="I26" s="12"/>
      <c r="J26" s="12"/>
      <c r="K26" s="25"/>
    </row>
    <row r="27" spans="3:11" ht="14.5" hidden="1">
      <c r="F27" s="161"/>
      <c r="G27" s="2"/>
      <c r="H27" s="23"/>
      <c r="I27" s="12"/>
      <c r="J27" s="12"/>
      <c r="K27" s="25"/>
    </row>
    <row r="28" spans="3:11" ht="14.5" hidden="1">
      <c r="H28" s="23"/>
      <c r="I28" s="12"/>
      <c r="J28" s="12"/>
      <c r="K28" s="25"/>
    </row>
  </sheetData>
  <sheetProtection algorithmName="SHA-512" hashValue="02AmpPlybW8ycsXvE+aOFrcchIrV4W84u9c8vMitFUgVBCR/F/WN/rgGieK3sPwKobEVZPzBIzLJRn1aNxsJ7A==" saltValue="MkVcf5YsY/LSugHVLCdIRw==" spinCount="100000" sheet="1" selectLockedCells="1"/>
  <mergeCells count="1">
    <mergeCell ref="D1:G1"/>
  </mergeCells>
  <phoneticPr fontId="43" type="noConversion"/>
  <pageMargins left="0.7" right="0.7" top="0.75" bottom="0.75" header="0.3" footer="0.3"/>
  <pageSetup orientation="portrait" r:id="rId1"/>
  <ignoredErrors>
    <ignoredError sqref="I4:I23" calculatedColumn="1"/>
  </ignoredError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5"/>
  </sheetPr>
  <dimension ref="A1:K1048575"/>
  <sheetViews>
    <sheetView showGridLines="0" showRowColHeaders="0" zoomScaleNormal="100" workbookViewId="0">
      <pane xSplit="3" ySplit="2" topLeftCell="D56" activePane="bottomRight" state="frozen"/>
      <selection activeCell="A4" sqref="A4"/>
      <selection pane="topRight" activeCell="A4" sqref="A4"/>
      <selection pane="bottomLeft" activeCell="A4" sqref="A4"/>
      <selection pane="bottomRight" activeCell="H4" sqref="H4"/>
    </sheetView>
  </sheetViews>
  <sheetFormatPr defaultColWidth="0" defaultRowHeight="14.4" customHeight="1" zeroHeight="1"/>
  <cols>
    <col min="1" max="1" width="0.90625" customWidth="1"/>
    <col min="2" max="2" width="25.81640625" style="1" customWidth="1"/>
    <col min="3" max="3" width="28.08984375" style="1" customWidth="1"/>
    <col min="4" max="4" width="14.81640625" style="2" customWidth="1"/>
    <col min="5" max="5" width="20.81640625" customWidth="1"/>
    <col min="6" max="6" width="28.81640625" customWidth="1"/>
    <col min="7" max="7" width="9.81640625" customWidth="1"/>
    <col min="8" max="8" width="11.81640625" style="24" customWidth="1"/>
    <col min="9" max="9" width="14" style="8" bestFit="1" customWidth="1"/>
    <col min="10" max="10" width="11.81640625" style="8" customWidth="1"/>
    <col min="11" max="11" width="13.81640625" style="28" customWidth="1"/>
    <col min="12" max="16384" width="14.81640625" hidden="1"/>
  </cols>
  <sheetData>
    <row r="1" spans="1:11" ht="54" customHeight="1">
      <c r="A1" s="133">
        <v>4</v>
      </c>
      <c r="B1" s="136"/>
      <c r="C1" s="135"/>
      <c r="D1" s="368" t="s">
        <v>365</v>
      </c>
      <c r="E1" s="368"/>
      <c r="F1" s="368"/>
      <c r="G1" s="368"/>
      <c r="H1" s="22" t="s">
        <v>283</v>
      </c>
    </row>
    <row r="2" spans="1:11" ht="18" customHeight="1">
      <c r="A2" s="61"/>
      <c r="B2" s="3" t="s">
        <v>0</v>
      </c>
      <c r="C2" s="3" t="s">
        <v>14</v>
      </c>
      <c r="D2" s="4" t="s">
        <v>304</v>
      </c>
      <c r="E2" s="4" t="s">
        <v>347</v>
      </c>
      <c r="F2" s="129" t="s">
        <v>89</v>
      </c>
      <c r="G2" s="4" t="s">
        <v>53</v>
      </c>
      <c r="H2" s="323" t="s">
        <v>207</v>
      </c>
      <c r="I2" s="324" t="s">
        <v>1824</v>
      </c>
      <c r="J2" s="20" t="s">
        <v>1823</v>
      </c>
      <c r="K2" s="20" t="s">
        <v>266</v>
      </c>
    </row>
    <row r="3" spans="1:11" ht="14.4" customHeight="1">
      <c r="A3" s="62"/>
      <c r="B3" s="5" t="s">
        <v>13</v>
      </c>
      <c r="C3" s="5" t="s">
        <v>1781</v>
      </c>
      <c r="G3" s="1"/>
      <c r="H3" s="319"/>
      <c r="I3" s="322"/>
      <c r="J3" s="13"/>
      <c r="K3" s="29"/>
    </row>
    <row r="4" spans="1:11" ht="14.4" customHeight="1">
      <c r="D4" s="330">
        <v>2811100280</v>
      </c>
      <c r="E4" t="s">
        <v>2</v>
      </c>
      <c r="F4" t="s">
        <v>261</v>
      </c>
      <c r="G4" s="2">
        <v>1</v>
      </c>
      <c r="H4" s="320"/>
      <c r="I4" s="321">
        <f>VLOOKUP(Table33[[#This Row],[Part Number]],'2023 Pricing Rework'!$B$31:$F$754,5,FALSE)</f>
        <v>17.829999999999998</v>
      </c>
      <c r="J4" s="13">
        <f>VLOOKUP(Table33[[#This Row],[Part Number]],'2023 Pricing Rework'!$B$31:$F$754,4,FALSE)</f>
        <v>23.770000000000003</v>
      </c>
      <c r="K4" s="29">
        <f>Table33[[#This Row],[Your Price]]*Table33[[#This Row],[Qty]]</f>
        <v>0</v>
      </c>
    </row>
    <row r="5" spans="1:11" ht="14.4" customHeight="1">
      <c r="D5" s="330">
        <v>2811200280</v>
      </c>
      <c r="E5" t="s">
        <v>3</v>
      </c>
      <c r="F5" t="s">
        <v>261</v>
      </c>
      <c r="G5" s="2">
        <v>1</v>
      </c>
      <c r="H5" s="234"/>
      <c r="I5" s="318">
        <f>VLOOKUP(Table33[[#This Row],[Part Number]],'2023 Pricing Rework'!$B$31:$F$754,5,FALSE)</f>
        <v>23.6</v>
      </c>
      <c r="J5" s="13">
        <f>VLOOKUP(Table33[[#This Row],[Part Number]],'2023 Pricing Rework'!$B$31:$F$754,4,FALSE)</f>
        <v>31.46</v>
      </c>
      <c r="K5" s="29">
        <f>Table33[[#This Row],[Your Price]]*Table33[[#This Row],[Qty]]</f>
        <v>0</v>
      </c>
    </row>
    <row r="6" spans="1:11" ht="14.4" customHeight="1">
      <c r="D6" s="330">
        <v>2811400280</v>
      </c>
      <c r="E6" t="s">
        <v>4</v>
      </c>
      <c r="F6" t="s">
        <v>261</v>
      </c>
      <c r="G6" s="2">
        <v>1</v>
      </c>
      <c r="H6" s="80"/>
      <c r="I6" s="316">
        <f>VLOOKUP(Table33[[#This Row],[Part Number]],'2023 Pricing Rework'!$B$31:$F$754,5,FALSE)</f>
        <v>43.61</v>
      </c>
      <c r="J6" s="13">
        <f>VLOOKUP(Table33[[#This Row],[Part Number]],'2023 Pricing Rework'!$B$31:$F$754,4,FALSE)</f>
        <v>58.14</v>
      </c>
      <c r="K6" s="29">
        <f>Table33[[#This Row],[Your Price]]*Table33[[#This Row],[Qty]]</f>
        <v>0</v>
      </c>
    </row>
    <row r="7" spans="1:11" ht="14.4" customHeight="1">
      <c r="D7" s="330">
        <v>2811500280</v>
      </c>
      <c r="E7" t="s">
        <v>5</v>
      </c>
      <c r="F7" t="s">
        <v>261</v>
      </c>
      <c r="G7" s="2">
        <v>1</v>
      </c>
      <c r="H7" s="80"/>
      <c r="I7" s="316">
        <f>VLOOKUP(Table33[[#This Row],[Part Number]],'2023 Pricing Rework'!$B$31:$F$754,5,FALSE)</f>
        <v>55.25</v>
      </c>
      <c r="J7" s="13">
        <f>VLOOKUP(Table33[[#This Row],[Part Number]],'2023 Pricing Rework'!$B$31:$F$754,4,FALSE)</f>
        <v>73.660000000000011</v>
      </c>
      <c r="K7" s="29">
        <f>Table33[[#This Row],[Your Price]]*Table33[[#This Row],[Qty]]</f>
        <v>0</v>
      </c>
    </row>
    <row r="8" spans="1:11" ht="14.4" customHeight="1">
      <c r="D8" s="330"/>
      <c r="E8" s="1"/>
      <c r="F8" s="1"/>
      <c r="G8" s="2"/>
      <c r="I8" s="13"/>
      <c r="J8" s="13"/>
      <c r="K8" s="29"/>
    </row>
    <row r="9" spans="1:11" ht="14.4" customHeight="1">
      <c r="C9" s="5" t="s">
        <v>1787</v>
      </c>
      <c r="D9" s="330"/>
      <c r="E9" s="1"/>
      <c r="F9" s="1"/>
      <c r="G9" s="2"/>
      <c r="I9" s="13"/>
      <c r="J9" s="13"/>
      <c r="K9" s="29"/>
    </row>
    <row r="10" spans="1:11" ht="14.4" customHeight="1">
      <c r="D10" s="330">
        <v>2811600290</v>
      </c>
      <c r="E10" t="s">
        <v>6</v>
      </c>
      <c r="F10" t="s">
        <v>261</v>
      </c>
      <c r="G10" s="2">
        <v>1</v>
      </c>
      <c r="H10" s="80"/>
      <c r="I10" s="316">
        <f>VLOOKUP(Table33[[#This Row],[Part Number]],'2023 Pricing Rework'!$B$31:$F$754,5,FALSE)</f>
        <v>66.8</v>
      </c>
      <c r="J10" s="13">
        <f>VLOOKUP(Table33[[#This Row],[Part Number]],'2023 Pricing Rework'!$B$31:$F$754,4,FALSE)</f>
        <v>89.06</v>
      </c>
      <c r="K10" s="29">
        <f>Table33[[#This Row],[Your Price]]*Table33[[#This Row],[Qty]]</f>
        <v>0</v>
      </c>
    </row>
    <row r="11" spans="1:11" ht="14.4" customHeight="1">
      <c r="D11" s="330">
        <v>2811700290</v>
      </c>
      <c r="E11" t="s">
        <v>7</v>
      </c>
      <c r="F11" t="s">
        <v>261</v>
      </c>
      <c r="G11" s="2">
        <v>1</v>
      </c>
      <c r="H11" s="80"/>
      <c r="I11" s="316">
        <f>VLOOKUP(Table33[[#This Row],[Part Number]],'2023 Pricing Rework'!$B$31:$F$754,5,FALSE)</f>
        <v>88.48</v>
      </c>
      <c r="J11" s="13">
        <f>VLOOKUP(Table33[[#This Row],[Part Number]],'2023 Pricing Rework'!$B$31:$F$754,4,FALSE)</f>
        <v>117.97</v>
      </c>
      <c r="K11" s="29">
        <f>Table33[[#This Row],[Your Price]]*Table33[[#This Row],[Qty]]</f>
        <v>0</v>
      </c>
    </row>
    <row r="12" spans="1:11" ht="14.4" customHeight="1">
      <c r="D12" s="330">
        <v>2810880200</v>
      </c>
      <c r="E12" t="s">
        <v>9</v>
      </c>
      <c r="F12" t="s">
        <v>346</v>
      </c>
      <c r="G12" s="2">
        <v>1</v>
      </c>
      <c r="H12" s="80"/>
      <c r="I12" s="316">
        <f>VLOOKUP(Table33[[#This Row],[Part Number]],'2023 Pricing Rework'!$B$31:$F$754,5,FALSE)</f>
        <v>107.72</v>
      </c>
      <c r="J12" s="13">
        <f>VLOOKUP(Table33[[#This Row],[Part Number]],'2023 Pricing Rework'!$B$31:$F$754,4,FALSE)</f>
        <v>143.63</v>
      </c>
      <c r="K12" s="29">
        <f>Table33[[#This Row],[Your Price]]*Table33[[#This Row],[Qty]]</f>
        <v>0</v>
      </c>
    </row>
    <row r="13" spans="1:11" ht="14.4" customHeight="1">
      <c r="D13" s="330">
        <v>2810900200</v>
      </c>
      <c r="E13" t="s">
        <v>10</v>
      </c>
      <c r="F13" t="s">
        <v>346</v>
      </c>
      <c r="G13" s="2">
        <v>1</v>
      </c>
      <c r="H13" s="80"/>
      <c r="I13" s="316">
        <f>VLOOKUP(Table33[[#This Row],[Part Number]],'2023 Pricing Rework'!$B$31:$F$754,5,FALSE)</f>
        <v>114.06</v>
      </c>
      <c r="J13" s="13">
        <f>VLOOKUP(Table33[[#This Row],[Part Number]],'2023 Pricing Rework'!$B$31:$F$754,4,FALSE)</f>
        <v>152.07999999999998</v>
      </c>
      <c r="K13" s="29">
        <f>Table33[[#This Row],[Your Price]]*Table33[[#This Row],[Qty]]</f>
        <v>0</v>
      </c>
    </row>
    <row r="14" spans="1:11" ht="14.4" customHeight="1">
      <c r="D14" s="330"/>
      <c r="E14" s="1"/>
      <c r="F14" s="1"/>
      <c r="G14" s="2"/>
      <c r="I14" s="13"/>
      <c r="J14" s="13"/>
      <c r="K14" s="29"/>
    </row>
    <row r="15" spans="1:11" ht="14.4" customHeight="1">
      <c r="A15" s="62"/>
      <c r="B15" s="5" t="s">
        <v>18</v>
      </c>
      <c r="C15" s="5" t="s">
        <v>1782</v>
      </c>
      <c r="D15" s="330"/>
      <c r="G15" s="2"/>
      <c r="I15" s="13"/>
      <c r="J15" s="13"/>
      <c r="K15" s="29"/>
    </row>
    <row r="16" spans="1:11" ht="14.4" customHeight="1">
      <c r="D16" s="330">
        <v>2811100380</v>
      </c>
      <c r="E16" t="s">
        <v>2</v>
      </c>
      <c r="G16" s="2">
        <v>1</v>
      </c>
      <c r="H16" s="80"/>
      <c r="I16" s="316">
        <f>VLOOKUP(Table33[[#This Row],[Part Number]],'2023 Pricing Rework'!$B$31:$F$754,5,FALSE)</f>
        <v>22.28</v>
      </c>
      <c r="J16" s="13">
        <f>VLOOKUP(Table33[[#This Row],[Part Number]],'2023 Pricing Rework'!$B$31:$F$754,4,FALSE)</f>
        <v>29.71</v>
      </c>
      <c r="K16" s="29">
        <f>Table33[[#This Row],[Your Price]]*Table33[[#This Row],[Qty]]</f>
        <v>0</v>
      </c>
    </row>
    <row r="17" spans="2:11" ht="14.4" customHeight="1">
      <c r="D17" s="330">
        <v>2811200380</v>
      </c>
      <c r="E17" t="s">
        <v>3</v>
      </c>
      <c r="F17" s="325"/>
      <c r="G17" s="2">
        <v>1</v>
      </c>
      <c r="H17" s="80"/>
      <c r="I17" s="316">
        <f>VLOOKUP(Table33[[#This Row],[Part Number]],'2023 Pricing Rework'!$B$31:$F$754,5,FALSE)</f>
        <v>26.3</v>
      </c>
      <c r="J17" s="13">
        <f>VLOOKUP(Table33[[#This Row],[Part Number]],'2023 Pricing Rework'!$B$31:$F$754,4,FALSE)</f>
        <v>35.059999999999995</v>
      </c>
      <c r="K17" s="29">
        <f>Table33[[#This Row],[Your Price]]*Table33[[#This Row],[Qty]]</f>
        <v>0</v>
      </c>
    </row>
    <row r="18" spans="2:11" ht="14.4" customHeight="1">
      <c r="D18" s="330">
        <v>2811400380</v>
      </c>
      <c r="E18" t="s">
        <v>4</v>
      </c>
      <c r="G18" s="2">
        <v>1</v>
      </c>
      <c r="H18" s="80"/>
      <c r="I18" s="316">
        <f>VLOOKUP(Table33[[#This Row],[Part Number]],'2023 Pricing Rework'!$B$31:$F$754,5,FALSE)</f>
        <v>52.13</v>
      </c>
      <c r="J18" s="13">
        <f>VLOOKUP(Table33[[#This Row],[Part Number]],'2023 Pricing Rework'!$B$31:$F$754,4,FALSE)</f>
        <v>69.5</v>
      </c>
      <c r="K18" s="29">
        <f>Table33[[#This Row],[Your Price]]*Table33[[#This Row],[Qty]]</f>
        <v>0</v>
      </c>
    </row>
    <row r="19" spans="2:11" ht="14.4" customHeight="1">
      <c r="D19" s="330">
        <v>2811500380</v>
      </c>
      <c r="E19" t="s">
        <v>5</v>
      </c>
      <c r="G19" s="2">
        <v>1</v>
      </c>
      <c r="H19" s="80"/>
      <c r="I19" s="316">
        <f>VLOOKUP(Table33[[#This Row],[Part Number]],'2023 Pricing Rework'!$B$31:$F$754,5,FALSE)</f>
        <v>61.76</v>
      </c>
      <c r="J19" s="13">
        <f>VLOOKUP(Table33[[#This Row],[Part Number]],'2023 Pricing Rework'!$B$31:$F$754,4,FALSE)</f>
        <v>82.350000000000009</v>
      </c>
      <c r="K19" s="29">
        <f>Table33[[#This Row],[Your Price]]*Table33[[#This Row],[Qty]]</f>
        <v>0</v>
      </c>
    </row>
    <row r="20" spans="2:11" ht="14.4" customHeight="1">
      <c r="D20" s="330"/>
      <c r="G20" s="2"/>
      <c r="H20" s="1"/>
      <c r="I20"/>
      <c r="J20" s="317"/>
      <c r="K20" s="29"/>
    </row>
    <row r="21" spans="2:11" ht="14.4" customHeight="1">
      <c r="C21" s="5" t="s">
        <v>1788</v>
      </c>
      <c r="D21" s="330"/>
      <c r="G21" s="2"/>
      <c r="I21" s="13"/>
      <c r="J21" s="13"/>
      <c r="K21" s="29"/>
    </row>
    <row r="22" spans="2:11" ht="14.4" customHeight="1">
      <c r="D22" s="330">
        <v>2811600390</v>
      </c>
      <c r="E22" t="s">
        <v>6</v>
      </c>
      <c r="G22" s="2">
        <v>1</v>
      </c>
      <c r="H22" s="80"/>
      <c r="I22" s="316">
        <f>VLOOKUP(Table33[[#This Row],[Part Number]],'2023 Pricing Rework'!$B$31:$F$754,5,FALSE)</f>
        <v>104.96</v>
      </c>
      <c r="J22" s="13">
        <f>VLOOKUP(Table33[[#This Row],[Part Number]],'2023 Pricing Rework'!$B$31:$F$754,4,FALSE)</f>
        <v>139.94</v>
      </c>
      <c r="K22" s="29">
        <f>Table33[[#This Row],[Your Price]]*Table33[[#This Row],[Qty]]</f>
        <v>0</v>
      </c>
    </row>
    <row r="23" spans="2:11" ht="14.4" customHeight="1">
      <c r="D23" s="330">
        <v>2811700390</v>
      </c>
      <c r="E23" t="s">
        <v>7</v>
      </c>
      <c r="G23" s="2">
        <v>1</v>
      </c>
      <c r="H23" s="80"/>
      <c r="I23" s="316">
        <f>VLOOKUP(Table33[[#This Row],[Part Number]],'2023 Pricing Rework'!$B$31:$F$754,5,FALSE)</f>
        <v>121.91</v>
      </c>
      <c r="J23" s="13">
        <f>VLOOKUP(Table33[[#This Row],[Part Number]],'2023 Pricing Rework'!$B$31:$F$754,4,FALSE)</f>
        <v>162.54</v>
      </c>
      <c r="K23" s="29">
        <f>Table33[[#This Row],[Your Price]]*Table33[[#This Row],[Qty]]</f>
        <v>0</v>
      </c>
    </row>
    <row r="24" spans="2:11" ht="14.4" customHeight="1">
      <c r="D24" s="330">
        <v>2810800300</v>
      </c>
      <c r="E24" t="s">
        <v>9</v>
      </c>
      <c r="F24" t="s">
        <v>401</v>
      </c>
      <c r="G24" s="2">
        <v>1</v>
      </c>
      <c r="H24" s="80"/>
      <c r="I24" s="316">
        <f>VLOOKUP(Table33[[#This Row],[Part Number]],'2023 Pricing Rework'!$B$31:$F$754,5,FALSE)</f>
        <v>131.01</v>
      </c>
      <c r="J24" s="13">
        <f>VLOOKUP(Table33[[#This Row],[Part Number]],'2023 Pricing Rework'!$B$31:$F$754,4,FALSE)</f>
        <v>174.67999999999998</v>
      </c>
      <c r="K24" s="29">
        <f>Table33[[#This Row],[Your Price]]*Table33[[#This Row],[Qty]]</f>
        <v>0</v>
      </c>
    </row>
    <row r="25" spans="2:11" ht="14.4" customHeight="1">
      <c r="D25" s="330">
        <v>2810900300</v>
      </c>
      <c r="E25" t="s">
        <v>10</v>
      </c>
      <c r="F25" t="s">
        <v>401</v>
      </c>
      <c r="G25" s="2">
        <v>1</v>
      </c>
      <c r="H25" s="80"/>
      <c r="I25" s="316">
        <f>VLOOKUP(Table33[[#This Row],[Part Number]],'2023 Pricing Rework'!$B$31:$F$754,5,FALSE)</f>
        <v>176.27</v>
      </c>
      <c r="J25" s="13">
        <f>VLOOKUP(Table33[[#This Row],[Part Number]],'2023 Pricing Rework'!$B$31:$F$754,4,FALSE)</f>
        <v>235.03</v>
      </c>
      <c r="K25" s="29">
        <f>Table33[[#This Row],[Your Price]]*Table33[[#This Row],[Qty]]</f>
        <v>0</v>
      </c>
    </row>
    <row r="26" spans="2:11" ht="14.4" customHeight="1">
      <c r="B26" s="176"/>
      <c r="D26" s="330"/>
      <c r="G26" s="2"/>
      <c r="H26" s="1"/>
      <c r="I26"/>
      <c r="J26" s="317"/>
      <c r="K26" s="29"/>
    </row>
    <row r="27" spans="2:11" ht="14.4" customHeight="1">
      <c r="D27" s="330"/>
      <c r="G27" s="2"/>
      <c r="I27" s="13"/>
      <c r="J27" s="13"/>
      <c r="K27" s="29"/>
    </row>
    <row r="28" spans="2:11" ht="14.4" customHeight="1">
      <c r="B28" s="176"/>
      <c r="C28" s="5" t="s">
        <v>1783</v>
      </c>
      <c r="D28" s="330"/>
      <c r="G28" s="2"/>
      <c r="I28" s="13"/>
      <c r="J28" s="13"/>
      <c r="K28" s="29"/>
    </row>
    <row r="29" spans="2:11" ht="14.4" customHeight="1">
      <c r="D29" s="330">
        <v>2811100480</v>
      </c>
      <c r="E29" t="s">
        <v>2</v>
      </c>
      <c r="G29" s="2">
        <v>1</v>
      </c>
      <c r="H29" s="80"/>
      <c r="I29" s="316">
        <f>VLOOKUP(Table33[[#This Row],[Part Number]],'2023 Pricing Rework'!$B$31:$F$754,5,FALSE)</f>
        <v>32.090000000000003</v>
      </c>
      <c r="J29" s="13">
        <f>VLOOKUP(Table33[[#This Row],[Part Number]],'2023 Pricing Rework'!$B$31:$F$754,4,FALSE)</f>
        <v>42.79</v>
      </c>
      <c r="K29" s="29">
        <f>Table33[[#This Row],[Your Price]]*Table33[[#This Row],[Qty]]</f>
        <v>0</v>
      </c>
    </row>
    <row r="30" spans="2:11" ht="14.4" customHeight="1">
      <c r="D30" s="330">
        <v>2811200480</v>
      </c>
      <c r="E30" t="s">
        <v>3</v>
      </c>
      <c r="G30" s="2">
        <v>1</v>
      </c>
      <c r="H30" s="80"/>
      <c r="I30" s="316">
        <f>VLOOKUP(Table33[[#This Row],[Part Number]],'2023 Pricing Rework'!$B$31:$F$754,5,FALSE)</f>
        <v>25.46</v>
      </c>
      <c r="J30" s="13">
        <f>VLOOKUP(Table33[[#This Row],[Part Number]],'2023 Pricing Rework'!$B$31:$F$754,4,FALSE)</f>
        <v>33.949999999999996</v>
      </c>
      <c r="K30" s="29">
        <f>Table33[[#This Row],[Your Price]]*Table33[[#This Row],[Qty]]</f>
        <v>0</v>
      </c>
    </row>
    <row r="31" spans="2:11" ht="14.4" customHeight="1">
      <c r="D31" s="330">
        <v>2811400480</v>
      </c>
      <c r="E31" t="s">
        <v>4</v>
      </c>
      <c r="G31" s="2">
        <v>1</v>
      </c>
      <c r="H31" s="80"/>
      <c r="I31" s="316">
        <f>VLOOKUP(Table33[[#This Row],[Part Number]],'2023 Pricing Rework'!$B$31:$F$754,5,FALSE)</f>
        <v>50.52</v>
      </c>
      <c r="J31" s="13">
        <f>VLOOKUP(Table33[[#This Row],[Part Number]],'2023 Pricing Rework'!$B$31:$F$754,4,FALSE)</f>
        <v>67.36</v>
      </c>
      <c r="K31" s="29">
        <f>Table33[[#This Row],[Your Price]]*Table33[[#This Row],[Qty]]</f>
        <v>0</v>
      </c>
    </row>
    <row r="32" spans="2:11" ht="14.4" customHeight="1">
      <c r="D32" s="330">
        <v>2811500480</v>
      </c>
      <c r="E32" t="s">
        <v>5</v>
      </c>
      <c r="G32" s="2">
        <v>1</v>
      </c>
      <c r="H32" s="80"/>
      <c r="I32" s="316">
        <f>VLOOKUP(Table33[[#This Row],[Part Number]],'2023 Pricing Rework'!$B$31:$F$754,5,FALSE)</f>
        <v>63.61</v>
      </c>
      <c r="J32" s="13">
        <f>VLOOKUP(Table33[[#This Row],[Part Number]],'2023 Pricing Rework'!$B$31:$F$754,4,FALSE)</f>
        <v>84.81</v>
      </c>
      <c r="K32" s="29">
        <f>Table33[[#This Row],[Your Price]]*Table33[[#This Row],[Qty]]</f>
        <v>0</v>
      </c>
    </row>
    <row r="33" spans="1:11" ht="14.4" customHeight="1">
      <c r="C33" s="5" t="s">
        <v>1786</v>
      </c>
      <c r="D33" s="330"/>
      <c r="G33" s="2"/>
      <c r="H33" s="23"/>
      <c r="I33" s="13"/>
      <c r="J33" s="13"/>
      <c r="K33" s="29"/>
    </row>
    <row r="34" spans="1:11" ht="14.4" customHeight="1">
      <c r="D34" s="330">
        <v>2811600490</v>
      </c>
      <c r="E34" t="s">
        <v>6</v>
      </c>
      <c r="G34" s="2">
        <v>1</v>
      </c>
      <c r="H34" s="80"/>
      <c r="I34" s="316">
        <f>VLOOKUP(Table33[[#This Row],[Part Number]],'2023 Pricing Rework'!$B$31:$F$754,5,FALSE)</f>
        <v>104.96</v>
      </c>
      <c r="J34" s="13">
        <f>VLOOKUP(Table33[[#This Row],[Part Number]],'2023 Pricing Rework'!$B$31:$F$754,4,FALSE)</f>
        <v>139.94</v>
      </c>
      <c r="K34" s="29">
        <f>Table33[[#This Row],[Your Price]]*Table33[[#This Row],[Qty]]</f>
        <v>0</v>
      </c>
    </row>
    <row r="35" spans="1:11" ht="14.4" customHeight="1">
      <c r="D35" s="330">
        <v>2811700490</v>
      </c>
      <c r="E35" t="s">
        <v>7</v>
      </c>
      <c r="G35" s="2">
        <v>1</v>
      </c>
      <c r="H35" s="80"/>
      <c r="I35" s="316">
        <f>VLOOKUP(Table33[[#This Row],[Part Number]],'2023 Pricing Rework'!$B$31:$F$754,5,FALSE)</f>
        <v>132.38</v>
      </c>
      <c r="J35" s="13">
        <f>VLOOKUP(Table33[[#This Row],[Part Number]],'2023 Pricing Rework'!$B$31:$F$754,4,FALSE)</f>
        <v>176.5</v>
      </c>
      <c r="K35" s="29">
        <f>Table33[[#This Row],[Your Price]]*Table33[[#This Row],[Qty]]</f>
        <v>0</v>
      </c>
    </row>
    <row r="36" spans="1:11" ht="14.4" customHeight="1">
      <c r="D36" s="330">
        <v>2810800400</v>
      </c>
      <c r="E36" t="s">
        <v>9</v>
      </c>
      <c r="F36" t="s">
        <v>401</v>
      </c>
      <c r="G36" s="2">
        <v>1</v>
      </c>
      <c r="H36" s="80"/>
      <c r="I36" s="316">
        <f>VLOOKUP(Table33[[#This Row],[Part Number]],'2023 Pricing Rework'!$B$31:$F$754,5,FALSE)</f>
        <v>143.03</v>
      </c>
      <c r="J36" s="13">
        <f>VLOOKUP(Table33[[#This Row],[Part Number]],'2023 Pricing Rework'!$B$31:$F$754,4,FALSE)</f>
        <v>190.7</v>
      </c>
      <c r="K36" s="29">
        <f>Table33[[#This Row],[Your Price]]*Table33[[#This Row],[Qty]]</f>
        <v>0</v>
      </c>
    </row>
    <row r="37" spans="1:11" ht="14.4" customHeight="1">
      <c r="D37" s="330">
        <v>2810900400</v>
      </c>
      <c r="E37" t="s">
        <v>10</v>
      </c>
      <c r="F37" t="s">
        <v>401</v>
      </c>
      <c r="G37" s="2">
        <v>1</v>
      </c>
      <c r="H37" s="80"/>
      <c r="I37" s="316">
        <f>VLOOKUP(Table33[[#This Row],[Part Number]],'2023 Pricing Rework'!$B$31:$F$754,5,FALSE)</f>
        <v>177.35</v>
      </c>
      <c r="J37" s="13">
        <f>VLOOKUP(Table33[[#This Row],[Part Number]],'2023 Pricing Rework'!$B$31:$F$754,4,FALSE)</f>
        <v>236.47</v>
      </c>
      <c r="K37" s="29">
        <f>Table33[[#This Row],[Your Price]]*Table33[[#This Row],[Qty]]</f>
        <v>0</v>
      </c>
    </row>
    <row r="38" spans="1:11" ht="14.4" customHeight="1">
      <c r="D38" s="330"/>
      <c r="G38" s="2"/>
      <c r="H38" s="23"/>
      <c r="I38" s="12"/>
      <c r="J38" s="12"/>
      <c r="K38" s="101"/>
    </row>
    <row r="39" spans="1:11" ht="14.4" customHeight="1">
      <c r="D39" s="330"/>
      <c r="G39" s="2"/>
      <c r="H39" s="23"/>
      <c r="I39" s="12"/>
      <c r="J39" s="12"/>
      <c r="K39" s="101"/>
    </row>
    <row r="40" spans="1:11" ht="14.4" customHeight="1">
      <c r="A40" s="62"/>
      <c r="B40" s="5" t="s">
        <v>19</v>
      </c>
      <c r="C40" s="5" t="s">
        <v>1784</v>
      </c>
      <c r="D40" s="330"/>
      <c r="G40" s="2"/>
      <c r="H40" s="23"/>
      <c r="I40" s="13"/>
      <c r="J40" s="13"/>
      <c r="K40" s="29"/>
    </row>
    <row r="41" spans="1:11" ht="14.4" customHeight="1">
      <c r="D41" s="330">
        <v>2811100580</v>
      </c>
      <c r="E41" t="s">
        <v>2</v>
      </c>
      <c r="G41" s="2">
        <v>1</v>
      </c>
      <c r="H41" s="80"/>
      <c r="I41" s="316">
        <f>VLOOKUP(Table33[[#This Row],[Part Number]],'2023 Pricing Rework'!$B$31:$F$754,5,FALSE)</f>
        <v>27.17</v>
      </c>
      <c r="J41" s="13">
        <f>VLOOKUP(Table33[[#This Row],[Part Number]],'2023 Pricing Rework'!$B$31:$F$754,4,FALSE)</f>
        <v>36.229999999999997</v>
      </c>
      <c r="K41" s="29">
        <f>Table33[[#This Row],[Your Price]]*Table33[[#This Row],[Qty]]</f>
        <v>0</v>
      </c>
    </row>
    <row r="42" spans="1:11" ht="14.4" customHeight="1">
      <c r="D42" s="330">
        <v>2811200580</v>
      </c>
      <c r="E42" t="s">
        <v>3</v>
      </c>
      <c r="G42" s="2">
        <v>1</v>
      </c>
      <c r="H42" s="80"/>
      <c r="I42" s="316">
        <f>VLOOKUP(Table33[[#This Row],[Part Number]],'2023 Pricing Rework'!$B$31:$F$754,5,FALSE)</f>
        <v>32.99</v>
      </c>
      <c r="J42" s="13">
        <f>VLOOKUP(Table33[[#This Row],[Part Number]],'2023 Pricing Rework'!$B$31:$F$754,4,FALSE)</f>
        <v>43.989999999999995</v>
      </c>
      <c r="K42" s="29">
        <f>Table33[[#This Row],[Your Price]]*Table33[[#This Row],[Qty]]</f>
        <v>0</v>
      </c>
    </row>
    <row r="43" spans="1:11" ht="14.4" customHeight="1">
      <c r="D43" s="330">
        <v>2811400580</v>
      </c>
      <c r="E43" t="s">
        <v>4</v>
      </c>
      <c r="G43" s="2">
        <v>1</v>
      </c>
      <c r="H43" s="80"/>
      <c r="I43" s="316">
        <f>VLOOKUP(Table33[[#This Row],[Part Number]],'2023 Pricing Rework'!$B$31:$F$754,5,FALSE)</f>
        <v>57.74</v>
      </c>
      <c r="J43" s="13">
        <f>VLOOKUP(Table33[[#This Row],[Part Number]],'2023 Pricing Rework'!$B$31:$F$754,4,FALSE)</f>
        <v>76.98</v>
      </c>
      <c r="K43" s="29">
        <f>Table33[[#This Row],[Your Price]]*Table33[[#This Row],[Qty]]</f>
        <v>0</v>
      </c>
    </row>
    <row r="44" spans="1:11" ht="14.4" customHeight="1">
      <c r="D44" s="330">
        <v>2811500580</v>
      </c>
      <c r="E44" t="s">
        <v>5</v>
      </c>
      <c r="G44" s="2">
        <v>1</v>
      </c>
      <c r="H44" s="80"/>
      <c r="I44" s="316">
        <f>VLOOKUP(Table33[[#This Row],[Part Number]],'2023 Pricing Rework'!$B$31:$F$754,5,FALSE)</f>
        <v>81.19</v>
      </c>
      <c r="J44" s="13">
        <f>VLOOKUP(Table33[[#This Row],[Part Number]],'2023 Pricing Rework'!$B$31:$F$754,4,FALSE)</f>
        <v>108.25</v>
      </c>
      <c r="K44" s="29">
        <f>Table33[[#This Row],[Your Price]]*Table33[[#This Row],[Qty]]</f>
        <v>0</v>
      </c>
    </row>
    <row r="45" spans="1:11" ht="14.4" customHeight="1">
      <c r="C45" s="5" t="s">
        <v>1789</v>
      </c>
      <c r="G45" s="2"/>
      <c r="H45" s="23"/>
      <c r="I45" s="13"/>
      <c r="J45" s="13"/>
      <c r="K45" s="29"/>
    </row>
    <row r="46" spans="1:11" ht="14.4" customHeight="1">
      <c r="D46" s="2">
        <v>2811600590</v>
      </c>
      <c r="E46" t="s">
        <v>6</v>
      </c>
      <c r="G46" s="2">
        <v>1</v>
      </c>
      <c r="H46" s="80"/>
      <c r="I46" s="316">
        <f>VLOOKUP(Table33[[#This Row],[Part Number]],'2023 Pricing Rework'!$B$31:$F$754,5,FALSE)</f>
        <v>119.28</v>
      </c>
      <c r="J46" s="13">
        <f>VLOOKUP(Table33[[#This Row],[Part Number]],'2023 Pricing Rework'!$B$31:$F$754,4,FALSE)</f>
        <v>159.04</v>
      </c>
      <c r="K46" s="29">
        <f>Table33[[#This Row],[Your Price]]*Table33[[#This Row],[Qty]]</f>
        <v>0</v>
      </c>
    </row>
    <row r="47" spans="1:11" ht="14.4" customHeight="1">
      <c r="D47" s="2">
        <v>2811700590</v>
      </c>
      <c r="E47" t="s">
        <v>7</v>
      </c>
      <c r="G47" s="2">
        <v>1</v>
      </c>
      <c r="H47" s="80"/>
      <c r="I47" s="316">
        <f>VLOOKUP(Table33[[#This Row],[Part Number]],'2023 Pricing Rework'!$B$31:$F$754,5,FALSE)</f>
        <v>174.02</v>
      </c>
      <c r="J47" s="13">
        <f>VLOOKUP(Table33[[#This Row],[Part Number]],'2023 Pricing Rework'!$B$31:$F$754,4,FALSE)</f>
        <v>232.03</v>
      </c>
      <c r="K47" s="29">
        <f>Table33[[#This Row],[Your Price]]*Table33[[#This Row],[Qty]]</f>
        <v>0</v>
      </c>
    </row>
    <row r="48" spans="1:11" ht="14.4" customHeight="1">
      <c r="D48" s="2">
        <v>2810800500</v>
      </c>
      <c r="E48" t="s">
        <v>9</v>
      </c>
      <c r="F48" t="s">
        <v>401</v>
      </c>
      <c r="G48" s="2">
        <v>1</v>
      </c>
      <c r="H48" s="80"/>
      <c r="I48" s="316">
        <f>VLOOKUP(Table33[[#This Row],[Part Number]],'2023 Pricing Rework'!$B$31:$F$754,5,FALSE)</f>
        <v>143.33000000000001</v>
      </c>
      <c r="J48" s="13">
        <f>VLOOKUP(Table33[[#This Row],[Part Number]],'2023 Pricing Rework'!$B$31:$F$754,4,FALSE)</f>
        <v>191.10999999999999</v>
      </c>
      <c r="K48" s="29">
        <f>Table33[[#This Row],[Your Price]]*Table33[[#This Row],[Qty]]</f>
        <v>0</v>
      </c>
    </row>
    <row r="49" spans="1:11" ht="14.4" customHeight="1">
      <c r="D49" s="2">
        <v>2810900500</v>
      </c>
      <c r="E49" t="s">
        <v>10</v>
      </c>
      <c r="F49" t="s">
        <v>401</v>
      </c>
      <c r="G49" s="2">
        <v>1</v>
      </c>
      <c r="H49" s="80"/>
      <c r="I49" s="316">
        <f>VLOOKUP(Table33[[#This Row],[Part Number]],'2023 Pricing Rework'!$B$31:$F$754,5,FALSE)</f>
        <v>259.23</v>
      </c>
      <c r="J49" s="13">
        <f>VLOOKUP(Table33[[#This Row],[Part Number]],'2023 Pricing Rework'!$B$31:$F$754,4,FALSE)</f>
        <v>345.64</v>
      </c>
      <c r="K49" s="29">
        <f>Table33[[#This Row],[Your Price]]*Table33[[#This Row],[Qty]]</f>
        <v>0</v>
      </c>
    </row>
    <row r="50" spans="1:11" ht="14.4" customHeight="1">
      <c r="A50" s="62"/>
      <c r="B50" s="5" t="s">
        <v>44</v>
      </c>
      <c r="C50" s="5" t="s">
        <v>1785</v>
      </c>
      <c r="G50" s="2"/>
      <c r="H50" s="23"/>
      <c r="I50" s="13"/>
      <c r="J50" s="13"/>
      <c r="K50" s="29"/>
    </row>
    <row r="51" spans="1:11" ht="14.4" customHeight="1">
      <c r="D51" s="2">
        <v>2811100680</v>
      </c>
      <c r="E51" t="s">
        <v>2</v>
      </c>
      <c r="G51" s="2">
        <v>1</v>
      </c>
      <c r="H51" s="80"/>
      <c r="I51" s="316">
        <f>VLOOKUP(Table33[[#This Row],[Part Number]],'2023 Pricing Rework'!$B$31:$F$754,5,FALSE)</f>
        <v>21.4</v>
      </c>
      <c r="J51" s="13">
        <f>VLOOKUP(Table33[[#This Row],[Part Number]],'2023 Pricing Rework'!$B$31:$F$754,4,FALSE)</f>
        <v>28.53</v>
      </c>
      <c r="K51" s="29">
        <f>Table33[[#This Row],[Your Price]]*Table33[[#This Row],[Qty]]</f>
        <v>0</v>
      </c>
    </row>
    <row r="52" spans="1:11" ht="14.4" customHeight="1">
      <c r="D52" s="2">
        <v>2811200680</v>
      </c>
      <c r="E52" t="s">
        <v>3</v>
      </c>
      <c r="G52" s="2">
        <v>1</v>
      </c>
      <c r="H52" s="80"/>
      <c r="I52" s="316">
        <f>VLOOKUP(Table33[[#This Row],[Part Number]],'2023 Pricing Rework'!$B$31:$F$754,5,FALSE)</f>
        <v>21.47</v>
      </c>
      <c r="J52" s="13">
        <f>VLOOKUP(Table33[[#This Row],[Part Number]],'2023 Pricing Rework'!$B$31:$F$754,4,FALSE)</f>
        <v>28.62</v>
      </c>
      <c r="K52" s="29">
        <f>Table33[[#This Row],[Your Price]]*Table33[[#This Row],[Qty]]</f>
        <v>0</v>
      </c>
    </row>
    <row r="53" spans="1:11" ht="14.4" customHeight="1">
      <c r="D53" s="2">
        <v>2811400680</v>
      </c>
      <c r="E53" t="s">
        <v>4</v>
      </c>
      <c r="G53" s="2">
        <v>1</v>
      </c>
      <c r="H53" s="80"/>
      <c r="I53" s="316">
        <f>VLOOKUP(Table33[[#This Row],[Part Number]],'2023 Pricing Rework'!$B$31:$F$754,5,FALSE)</f>
        <v>35.03</v>
      </c>
      <c r="J53" s="13">
        <f>VLOOKUP(Table33[[#This Row],[Part Number]],'2023 Pricing Rework'!$B$31:$F$754,4,FALSE)</f>
        <v>46.71</v>
      </c>
      <c r="K53" s="29">
        <f>Table33[[#This Row],[Your Price]]*Table33[[#This Row],[Qty]]</f>
        <v>0</v>
      </c>
    </row>
    <row r="54" spans="1:11" ht="14.4" customHeight="1">
      <c r="D54" s="2">
        <v>2811500680</v>
      </c>
      <c r="E54" t="s">
        <v>5</v>
      </c>
      <c r="G54" s="2">
        <v>1</v>
      </c>
      <c r="H54" s="80"/>
      <c r="I54" s="316">
        <f>VLOOKUP(Table33[[#This Row],[Part Number]],'2023 Pricing Rework'!$B$31:$F$754,5,FALSE)</f>
        <v>46.34</v>
      </c>
      <c r="J54" s="13">
        <f>VLOOKUP(Table33[[#This Row],[Part Number]],'2023 Pricing Rework'!$B$31:$F$754,4,FALSE)</f>
        <v>61.79</v>
      </c>
      <c r="K54" s="29">
        <f>Table33[[#This Row],[Your Price]]*Table33[[#This Row],[Qty]]</f>
        <v>0</v>
      </c>
    </row>
    <row r="55" spans="1:11" ht="14.4" customHeight="1">
      <c r="C55" s="5" t="s">
        <v>1790</v>
      </c>
      <c r="G55" s="2"/>
      <c r="H55" s="23"/>
      <c r="I55" s="13"/>
      <c r="J55" s="13"/>
      <c r="K55" s="29"/>
    </row>
    <row r="56" spans="1:11" ht="14.4" customHeight="1">
      <c r="D56" s="2">
        <v>2811600690</v>
      </c>
      <c r="E56" t="s">
        <v>6</v>
      </c>
      <c r="G56" s="2">
        <v>1</v>
      </c>
      <c r="H56" s="80"/>
      <c r="I56" s="316">
        <f>VLOOKUP(Table33[[#This Row],[Part Number]],'2023 Pricing Rework'!$B$31:$F$754,5,FALSE)</f>
        <v>59.16</v>
      </c>
      <c r="J56" s="13">
        <f>VLOOKUP(Table33[[#This Row],[Part Number]],'2023 Pricing Rework'!$B$31:$F$754,4,FALSE)</f>
        <v>78.88</v>
      </c>
      <c r="K56" s="29">
        <f>Table33[[#This Row],[Your Price]]*Table33[[#This Row],[Qty]]</f>
        <v>0</v>
      </c>
    </row>
    <row r="57" spans="1:11" ht="14.4" customHeight="1">
      <c r="D57" s="2">
        <v>2811700690</v>
      </c>
      <c r="E57" t="s">
        <v>7</v>
      </c>
      <c r="G57" s="2">
        <v>1</v>
      </c>
      <c r="H57" s="80"/>
      <c r="I57" s="316">
        <f>VLOOKUP(Table33[[#This Row],[Part Number]],'2023 Pricing Rework'!$B$31:$F$754,5,FALSE)</f>
        <v>103.98</v>
      </c>
      <c r="J57" s="13">
        <f>VLOOKUP(Table33[[#This Row],[Part Number]],'2023 Pricing Rework'!$B$31:$F$754,4,FALSE)</f>
        <v>138.63999999999999</v>
      </c>
      <c r="K57" s="29">
        <f>Table33[[#This Row],[Your Price]]*Table33[[#This Row],[Qty]]</f>
        <v>0</v>
      </c>
    </row>
    <row r="58" spans="1:11" ht="14.5">
      <c r="D58" s="2">
        <v>2810981600</v>
      </c>
      <c r="E58" t="s">
        <v>329</v>
      </c>
      <c r="F58" t="s">
        <v>351</v>
      </c>
      <c r="G58" s="2">
        <v>1</v>
      </c>
      <c r="H58" s="80"/>
      <c r="I58" s="316">
        <f>VLOOKUP(Table33[[#This Row],[Part Number]],'2023 Pricing Rework'!$B$31:$F$754,5,FALSE)</f>
        <v>84.49</v>
      </c>
      <c r="J58" s="13">
        <f>VLOOKUP(Table33[[#This Row],[Part Number]],'2023 Pricing Rework'!$B$31:$F$754,4,FALSE)</f>
        <v>112.65</v>
      </c>
      <c r="K58" s="29">
        <f>Table33[[#This Row],[Your Price]]*Table33[[#This Row],[Qty]]</f>
        <v>0</v>
      </c>
    </row>
    <row r="59" spans="1:11" ht="13.75" customHeight="1">
      <c r="G59" s="2"/>
      <c r="H59" s="23"/>
      <c r="I59" s="13"/>
      <c r="J59" s="13"/>
      <c r="K59" s="29"/>
    </row>
    <row r="60" spans="1:11" ht="13.75" customHeight="1">
      <c r="G60" s="2"/>
      <c r="H60" s="23"/>
      <c r="I60" s="13"/>
      <c r="J60" s="13"/>
      <c r="K60" s="29"/>
    </row>
    <row r="61" spans="1:11" ht="14.4" customHeight="1"/>
    <row r="62" spans="1:11" ht="14.4" customHeight="1"/>
    <row r="184" ht="7.5" hidden="1" customHeight="1"/>
    <row r="1048575" ht="3" hidden="1" customHeight="1"/>
  </sheetData>
  <sheetProtection algorithmName="SHA-512" hashValue="BpdCqkOaGg0V4ed0gFm1iIDm6LjaAJ1j10R9p95CV0JDxIA8f08LU06GyvbiakOMZbx6ozzz7mhl2w9TR2Un9Q==" saltValue="LSxM1x/MkwYI/awDkKXA+w==" spinCount="100000" sheet="1" objects="1" scenarios="1" selectLockedCells="1"/>
  <mergeCells count="1">
    <mergeCell ref="D1:G1"/>
  </mergeCells>
  <dataValidations count="1">
    <dataValidation type="whole" allowBlank="1" showInputMessage="1" showErrorMessage="1" sqref="H16:H19 H22:H25 H29:H32 H34:H39 H41:H44 H46:H49 H51:H54 H10:H13 H4:H7 H56:H58" xr:uid="{00000000-0002-0000-0500-000000000000}">
      <formula1>0</formula1>
      <formula2>500</formula2>
    </dataValidation>
  </dataValidations>
  <pageMargins left="0.7" right="0.7" top="0.75" bottom="0.75" header="0.3" footer="0.3"/>
  <pageSetup orientation="portrait" r:id="rId1"/>
  <ignoredErrors>
    <ignoredError sqref="I8 I9 I4:I7 I56:I58 I41:I44 I46:I49 I51:I54 I34:I37 I50 I45 I40 I38:I39 I55 I20:I21 I26:I28 I33 I14:I15 I10:I13 I16:I19 I29:I32 I22:I25" calculatedColumn="1"/>
  </ignoredErrors>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theme="5"/>
  </sheetPr>
  <dimension ref="A1:K57"/>
  <sheetViews>
    <sheetView showGridLine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14.4" customHeight="1" zeroHeight="1"/>
  <cols>
    <col min="1" max="1" width="0.90625" customWidth="1"/>
    <col min="2" max="2" width="25.81640625" style="1" customWidth="1"/>
    <col min="3" max="3" width="31.26953125" style="1" bestFit="1" customWidth="1"/>
    <col min="4" max="4" width="14.81640625" style="2" customWidth="1"/>
    <col min="5" max="5" width="20.81640625" customWidth="1"/>
    <col min="6" max="6" width="28.81640625" customWidth="1"/>
    <col min="7" max="7" width="9.81640625" style="2" customWidth="1"/>
    <col min="8" max="8" width="11.81640625" style="24" customWidth="1"/>
    <col min="9" max="9" width="14" style="8" bestFit="1" customWidth="1"/>
    <col min="10" max="10" width="11.81640625" style="8" customWidth="1"/>
    <col min="11" max="11" width="13.81640625" style="8" customWidth="1"/>
    <col min="12" max="16384" width="8.90625" hidden="1"/>
  </cols>
  <sheetData>
    <row r="1" spans="1:11" ht="54" customHeight="1">
      <c r="A1" s="133"/>
      <c r="B1" s="136"/>
      <c r="C1" s="135"/>
      <c r="D1" s="367" t="s">
        <v>267</v>
      </c>
      <c r="E1" s="367"/>
      <c r="F1" s="367"/>
      <c r="G1" s="367"/>
      <c r="H1" s="22" t="s">
        <v>283</v>
      </c>
    </row>
    <row r="2" spans="1:11" ht="18.5">
      <c r="A2" s="61"/>
      <c r="B2" s="3" t="s">
        <v>0</v>
      </c>
      <c r="C2" s="3" t="s">
        <v>14</v>
      </c>
      <c r="D2" s="4" t="s">
        <v>304</v>
      </c>
      <c r="E2" s="4" t="s">
        <v>347</v>
      </c>
      <c r="F2" s="129" t="s">
        <v>352</v>
      </c>
      <c r="G2" s="4" t="s">
        <v>53</v>
      </c>
      <c r="H2" s="323" t="s">
        <v>207</v>
      </c>
      <c r="I2" s="324" t="s">
        <v>1824</v>
      </c>
      <c r="J2" s="20" t="s">
        <v>1823</v>
      </c>
      <c r="K2" s="20" t="s">
        <v>266</v>
      </c>
    </row>
    <row r="3" spans="1:11" ht="14.4" customHeight="1">
      <c r="A3" s="62"/>
      <c r="B3" s="5" t="s">
        <v>271</v>
      </c>
      <c r="C3" s="5" t="s">
        <v>288</v>
      </c>
      <c r="E3" s="1" t="s">
        <v>262</v>
      </c>
      <c r="F3" s="1" t="s">
        <v>11</v>
      </c>
      <c r="G3" s="19"/>
      <c r="I3" s="13"/>
      <c r="J3" s="13"/>
      <c r="K3" s="13"/>
    </row>
    <row r="4" spans="1:11" ht="14.4" customHeight="1">
      <c r="D4" s="330">
        <v>2811212180</v>
      </c>
      <c r="E4" t="s">
        <v>3</v>
      </c>
      <c r="F4" t="s">
        <v>2</v>
      </c>
      <c r="G4" s="2">
        <v>1</v>
      </c>
      <c r="H4" s="80"/>
      <c r="I4" s="321">
        <f>VLOOKUP(Table339[[#This Row],[Part Number]],'2023 Pricing Rework'!$B$31:$F$754,5,FALSE)</f>
        <v>26.61</v>
      </c>
      <c r="J4" s="13">
        <f>VLOOKUP(Table339[[#This Row],[Part Number]],'2023 Pricing Rework'!$B$31:$F$754,4,FALSE)</f>
        <v>35.479999999999997</v>
      </c>
      <c r="K4" s="13">
        <f>Table339[[#This Row],[Your Price]]*Table339[[#This Row],[Qty]]</f>
        <v>0</v>
      </c>
    </row>
    <row r="5" spans="1:11" ht="14.4" customHeight="1">
      <c r="D5" s="330">
        <v>2811422180</v>
      </c>
      <c r="E5" t="s">
        <v>4</v>
      </c>
      <c r="F5" t="s">
        <v>3</v>
      </c>
      <c r="G5" s="2">
        <v>1</v>
      </c>
      <c r="H5" s="80"/>
      <c r="I5" s="318">
        <f>VLOOKUP(Table339[[#This Row],[Part Number]],'2023 Pricing Rework'!$B$31:$F$754,5,FALSE)</f>
        <v>45.53</v>
      </c>
      <c r="J5" s="13">
        <f>VLOOKUP(Table339[[#This Row],[Part Number]],'2023 Pricing Rework'!$B$31:$F$754,4,FALSE)</f>
        <v>60.71</v>
      </c>
      <c r="K5" s="13">
        <f>Table339[[#This Row],[Your Price]]*Table339[[#This Row],[Qty]]</f>
        <v>0</v>
      </c>
    </row>
    <row r="6" spans="1:11" ht="14.4" customHeight="1">
      <c r="D6" s="330">
        <v>2811542180</v>
      </c>
      <c r="E6" t="s">
        <v>5</v>
      </c>
      <c r="F6" t="s">
        <v>4</v>
      </c>
      <c r="G6" s="2">
        <v>1</v>
      </c>
      <c r="H6" s="80"/>
      <c r="I6" s="316">
        <f>VLOOKUP(Table339[[#This Row],[Part Number]],'2023 Pricing Rework'!$B$31:$F$754,5,FALSE)</f>
        <v>62.3</v>
      </c>
      <c r="J6" s="13">
        <f>VLOOKUP(Table339[[#This Row],[Part Number]],'2023 Pricing Rework'!$B$31:$F$754,4,FALSE)</f>
        <v>83.070000000000007</v>
      </c>
      <c r="K6" s="13">
        <f>Table339[[#This Row],[Your Price]]*Table339[[#This Row],[Qty]]</f>
        <v>0</v>
      </c>
    </row>
    <row r="7" spans="1:11" ht="14.4" customHeight="1">
      <c r="D7" s="330"/>
      <c r="I7" s="13"/>
      <c r="J7" s="13"/>
      <c r="K7" s="13"/>
    </row>
    <row r="8" spans="1:11" ht="14.4" customHeight="1">
      <c r="C8" s="119" t="s">
        <v>1791</v>
      </c>
      <c r="D8" s="330">
        <v>2811652190</v>
      </c>
      <c r="E8" t="s">
        <v>6</v>
      </c>
      <c r="F8" t="s">
        <v>5</v>
      </c>
      <c r="G8" s="2">
        <v>1</v>
      </c>
      <c r="H8" s="80"/>
      <c r="I8" s="321">
        <f>VLOOKUP(Table339[[#This Row],[Part Number]],'2023 Pricing Rework'!$B$31:$F$754,5,FALSE)</f>
        <v>134.09</v>
      </c>
      <c r="J8" s="13">
        <f>VLOOKUP(Table339[[#This Row],[Part Number]],'2023 Pricing Rework'!$B$31:$F$754,4,FALSE)</f>
        <v>178.78</v>
      </c>
      <c r="K8" s="13">
        <f>Table339[[#This Row],[Your Price]]*Table339[[#This Row],[Qty]]</f>
        <v>0</v>
      </c>
    </row>
    <row r="9" spans="1:11" ht="14.4" customHeight="1">
      <c r="D9" s="330">
        <v>2811762190</v>
      </c>
      <c r="E9" t="s">
        <v>7</v>
      </c>
      <c r="F9" t="s">
        <v>6</v>
      </c>
      <c r="G9" s="2">
        <v>1</v>
      </c>
      <c r="H9" s="80"/>
      <c r="I9" s="318">
        <f>VLOOKUP(Table339[[#This Row],[Part Number]],'2023 Pricing Rework'!$B$31:$F$754,5,FALSE)</f>
        <v>170.2</v>
      </c>
      <c r="J9" s="13">
        <f>VLOOKUP(Table339[[#This Row],[Part Number]],'2023 Pricing Rework'!$B$31:$F$754,4,FALSE)</f>
        <v>226.92999999999998</v>
      </c>
      <c r="K9" s="13">
        <f>Table339[[#This Row],[Your Price]]*Table339[[#This Row],[Qty]]</f>
        <v>0</v>
      </c>
    </row>
    <row r="10" spans="1:11" ht="14.4" customHeight="1">
      <c r="D10" s="330">
        <v>2810872100</v>
      </c>
      <c r="E10" t="s">
        <v>9</v>
      </c>
      <c r="F10" t="s">
        <v>7</v>
      </c>
      <c r="G10" s="2">
        <v>1</v>
      </c>
      <c r="H10" s="80"/>
      <c r="I10" s="316">
        <f>VLOOKUP(Table339[[#This Row],[Part Number]],'2023 Pricing Rework'!$B$31:$F$754,5,FALSE)</f>
        <v>144.83000000000001</v>
      </c>
      <c r="J10" s="13">
        <f>VLOOKUP(Table339[[#This Row],[Part Number]],'2023 Pricing Rework'!$B$31:$F$754,4,FALSE)</f>
        <v>193.10999999999999</v>
      </c>
      <c r="K10" s="13">
        <f>Table339[[#This Row],[Your Price]]*Table339[[#This Row],[Qty]]</f>
        <v>0</v>
      </c>
    </row>
    <row r="11" spans="1:11" ht="14.4" customHeight="1">
      <c r="D11" s="330">
        <v>2810982100</v>
      </c>
      <c r="E11" t="s">
        <v>10</v>
      </c>
      <c r="F11" t="s">
        <v>12</v>
      </c>
      <c r="G11" s="2">
        <v>1</v>
      </c>
      <c r="H11" s="80"/>
      <c r="I11" s="321">
        <f>VLOOKUP(Table339[[#This Row],[Part Number]],'2023 Pricing Rework'!$B$31:$F$754,5,FALSE)</f>
        <v>126.74</v>
      </c>
      <c r="J11" s="13">
        <f>VLOOKUP(Table339[[#This Row],[Part Number]],'2023 Pricing Rework'!$B$31:$F$754,4,FALSE)</f>
        <v>168.98</v>
      </c>
      <c r="K11" s="13">
        <f>Table339[[#This Row],[Your Price]]*Table339[[#This Row],[Qty]]</f>
        <v>0</v>
      </c>
    </row>
    <row r="12" spans="1:11" ht="14.4" customHeight="1">
      <c r="D12" s="330"/>
      <c r="H12" s="23"/>
      <c r="I12" s="13"/>
      <c r="J12" s="13"/>
      <c r="K12" s="13"/>
    </row>
    <row r="13" spans="1:11" ht="14.4" customHeight="1">
      <c r="D13" s="330"/>
      <c r="H13" s="23"/>
      <c r="I13" s="13"/>
      <c r="J13" s="13"/>
      <c r="K13" s="13"/>
    </row>
    <row r="14" spans="1:11" ht="14.4" customHeight="1">
      <c r="A14" s="62"/>
      <c r="B14" s="5" t="s">
        <v>272</v>
      </c>
      <c r="C14" s="5" t="s">
        <v>289</v>
      </c>
      <c r="D14" s="330"/>
      <c r="E14" s="1" t="s">
        <v>262</v>
      </c>
      <c r="F14" s="1" t="s">
        <v>11</v>
      </c>
      <c r="I14" s="13"/>
      <c r="J14" s="13"/>
      <c r="K14" s="13"/>
    </row>
    <row r="15" spans="1:11" ht="14.4" customHeight="1">
      <c r="B15" s="374" t="s">
        <v>1756</v>
      </c>
      <c r="D15" s="330">
        <v>2811210780</v>
      </c>
      <c r="E15" t="s">
        <v>3</v>
      </c>
      <c r="F15" t="s">
        <v>2</v>
      </c>
      <c r="G15" s="2">
        <v>1</v>
      </c>
      <c r="H15" s="80"/>
      <c r="I15" s="321">
        <f>VLOOKUP(Table339[[#This Row],[Part Number]],'2023 Pricing Rework'!$B$31:$F$754,5,FALSE)</f>
        <v>33.32</v>
      </c>
      <c r="J15" s="13">
        <f>VLOOKUP(Table339[[#This Row],[Part Number]],'2023 Pricing Rework'!$B$31:$F$754,4,FALSE)</f>
        <v>44.43</v>
      </c>
      <c r="K15" s="13">
        <f>Table339[[#This Row],[Your Price]]*Table339[[#This Row],[Qty]]</f>
        <v>0</v>
      </c>
    </row>
    <row r="16" spans="1:11" ht="14.4" customHeight="1">
      <c r="B16" s="374"/>
      <c r="D16" s="330">
        <v>2811410780</v>
      </c>
      <c r="E16" t="s">
        <v>4</v>
      </c>
      <c r="F16" t="s">
        <v>2</v>
      </c>
      <c r="G16" s="2">
        <v>1</v>
      </c>
      <c r="H16" s="80"/>
      <c r="I16" s="318">
        <f>VLOOKUP(Table339[[#This Row],[Part Number]],'2023 Pricing Rework'!$B$31:$F$754,5,FALSE)</f>
        <v>66.83</v>
      </c>
      <c r="J16" s="13">
        <f>VLOOKUP(Table339[[#This Row],[Part Number]],'2023 Pricing Rework'!$B$31:$F$754,4,FALSE)</f>
        <v>89.100000000000009</v>
      </c>
      <c r="K16" s="13">
        <f>Table339[[#This Row],[Your Price]]*Table339[[#This Row],[Qty]]</f>
        <v>0</v>
      </c>
    </row>
    <row r="17" spans="2:11" ht="14.4" customHeight="1">
      <c r="B17" s="374"/>
      <c r="D17" s="330">
        <v>2811420780</v>
      </c>
      <c r="E17" t="s">
        <v>4</v>
      </c>
      <c r="F17" t="s">
        <v>3</v>
      </c>
      <c r="G17" s="2">
        <v>1</v>
      </c>
      <c r="H17" s="80"/>
      <c r="I17" s="316">
        <f>VLOOKUP(Table339[[#This Row],[Part Number]],'2023 Pricing Rework'!$B$31:$F$754,5,FALSE)</f>
        <v>52.64</v>
      </c>
      <c r="J17" s="13">
        <f>VLOOKUP(Table339[[#This Row],[Part Number]],'2023 Pricing Rework'!$B$31:$F$754,4,FALSE)</f>
        <v>70.190000000000012</v>
      </c>
      <c r="K17" s="13">
        <f>Table339[[#This Row],[Your Price]]*Table339[[#This Row],[Qty]]</f>
        <v>0</v>
      </c>
    </row>
    <row r="18" spans="2:11" ht="14.4" customHeight="1">
      <c r="B18" s="374"/>
      <c r="D18" s="330">
        <v>2811510780</v>
      </c>
      <c r="E18" t="s">
        <v>5</v>
      </c>
      <c r="F18" t="s">
        <v>2</v>
      </c>
      <c r="G18" s="2">
        <v>1</v>
      </c>
      <c r="H18" s="80"/>
      <c r="I18" s="321">
        <f>VLOOKUP(Table339[[#This Row],[Part Number]],'2023 Pricing Rework'!$B$31:$F$754,5,FALSE)</f>
        <v>71.930000000000007</v>
      </c>
      <c r="J18" s="13">
        <f>VLOOKUP(Table339[[#This Row],[Part Number]],'2023 Pricing Rework'!$B$31:$F$754,4,FALSE)</f>
        <v>95.9</v>
      </c>
      <c r="K18" s="13">
        <f>Table339[[#This Row],[Your Price]]*Table339[[#This Row],[Qty]]</f>
        <v>0</v>
      </c>
    </row>
    <row r="19" spans="2:11" ht="14.4" customHeight="1">
      <c r="B19" s="374"/>
      <c r="D19" s="330">
        <v>2811520780</v>
      </c>
      <c r="E19" t="s">
        <v>5</v>
      </c>
      <c r="F19" t="s">
        <v>3</v>
      </c>
      <c r="G19" s="2">
        <v>1</v>
      </c>
      <c r="H19" s="80"/>
      <c r="I19" s="318">
        <f>VLOOKUP(Table339[[#This Row],[Part Number]],'2023 Pricing Rework'!$B$31:$F$754,5,FALSE)</f>
        <v>85.53</v>
      </c>
      <c r="J19" s="13">
        <f>VLOOKUP(Table339[[#This Row],[Part Number]],'2023 Pricing Rework'!$B$31:$F$754,4,FALSE)</f>
        <v>114.04</v>
      </c>
      <c r="K19" s="13">
        <f>Table339[[#This Row],[Your Price]]*Table339[[#This Row],[Qty]]</f>
        <v>0</v>
      </c>
    </row>
    <row r="20" spans="2:11" ht="14.4" customHeight="1">
      <c r="B20" s="374"/>
      <c r="D20" s="330">
        <v>2811540780</v>
      </c>
      <c r="E20" t="s">
        <v>5</v>
      </c>
      <c r="F20" t="s">
        <v>4</v>
      </c>
      <c r="G20" s="2">
        <v>1</v>
      </c>
      <c r="H20" s="80"/>
      <c r="I20" s="316">
        <f>VLOOKUP(Table339[[#This Row],[Part Number]],'2023 Pricing Rework'!$B$31:$F$754,5,FALSE)</f>
        <v>111.39</v>
      </c>
      <c r="J20" s="13">
        <f>VLOOKUP(Table339[[#This Row],[Part Number]],'2023 Pricing Rework'!$B$31:$F$754,4,FALSE)</f>
        <v>148.51999999999998</v>
      </c>
      <c r="K20" s="13">
        <f>Table339[[#This Row],[Your Price]]*Table339[[#This Row],[Qty]]</f>
        <v>0</v>
      </c>
    </row>
    <row r="21" spans="2:11" ht="14.4" customHeight="1">
      <c r="C21" s="5" t="s">
        <v>1792</v>
      </c>
      <c r="D21" s="330"/>
      <c r="E21" s="1" t="s">
        <v>262</v>
      </c>
      <c r="F21" s="1" t="s">
        <v>11</v>
      </c>
      <c r="H21" s="252"/>
      <c r="I21" s="13"/>
      <c r="J21" s="13"/>
      <c r="K21" s="13"/>
    </row>
    <row r="22" spans="2:11" ht="14.4" customHeight="1">
      <c r="D22" s="330">
        <v>2811640790</v>
      </c>
      <c r="E22" t="s">
        <v>6</v>
      </c>
      <c r="F22" t="s">
        <v>4</v>
      </c>
      <c r="G22" s="2">
        <v>1</v>
      </c>
      <c r="H22" s="80"/>
      <c r="I22" s="321">
        <f>VLOOKUP(Table339[[#This Row],[Part Number]],'2023 Pricing Rework'!$B$31:$F$754,5,FALSE)</f>
        <v>138.11000000000001</v>
      </c>
      <c r="J22" s="13">
        <f>VLOOKUP(Table339[[#This Row],[Part Number]],'2023 Pricing Rework'!$B$31:$F$754,4,FALSE)</f>
        <v>184.14999999999998</v>
      </c>
      <c r="K22" s="13">
        <f>Table339[[#This Row],[Your Price]]*Table339[[#This Row],[Qty]]</f>
        <v>0</v>
      </c>
    </row>
    <row r="23" spans="2:11" ht="14.4" customHeight="1">
      <c r="C23" s="9"/>
      <c r="D23" s="330">
        <v>2811650790</v>
      </c>
      <c r="E23" t="s">
        <v>6</v>
      </c>
      <c r="F23" t="s">
        <v>5</v>
      </c>
      <c r="G23" s="2">
        <v>1</v>
      </c>
      <c r="H23" s="80"/>
      <c r="I23" s="318">
        <f>VLOOKUP(Table339[[#This Row],[Part Number]],'2023 Pricing Rework'!$B$31:$F$754,5,FALSE)</f>
        <v>134.06</v>
      </c>
      <c r="J23" s="13">
        <f>VLOOKUP(Table339[[#This Row],[Part Number]],'2023 Pricing Rework'!$B$31:$F$754,4,FALSE)</f>
        <v>178.74</v>
      </c>
      <c r="K23" s="13">
        <f>Table339[[#This Row],[Your Price]]*Table339[[#This Row],[Qty]]</f>
        <v>0</v>
      </c>
    </row>
    <row r="24" spans="2:11" ht="14.4" customHeight="1">
      <c r="D24" s="330">
        <v>2811740790</v>
      </c>
      <c r="E24" t="s">
        <v>7</v>
      </c>
      <c r="F24" t="s">
        <v>4</v>
      </c>
      <c r="G24" s="2">
        <v>1</v>
      </c>
      <c r="H24" s="80"/>
      <c r="I24" s="316">
        <f>VLOOKUP(Table339[[#This Row],[Part Number]],'2023 Pricing Rework'!$B$31:$F$754,5,FALSE)</f>
        <v>175.38</v>
      </c>
      <c r="J24" s="13">
        <f>VLOOKUP(Table339[[#This Row],[Part Number]],'2023 Pricing Rework'!$B$31:$F$754,4,FALSE)</f>
        <v>233.84</v>
      </c>
      <c r="K24" s="13">
        <f>Table339[[#This Row],[Your Price]]*Table339[[#This Row],[Qty]]</f>
        <v>0</v>
      </c>
    </row>
    <row r="25" spans="2:11" ht="14.4" customHeight="1">
      <c r="D25" s="330">
        <v>2811750790</v>
      </c>
      <c r="E25" t="s">
        <v>7</v>
      </c>
      <c r="F25" t="s">
        <v>5</v>
      </c>
      <c r="G25" s="2">
        <v>1</v>
      </c>
      <c r="H25" s="80"/>
      <c r="I25" s="321">
        <f>VLOOKUP(Table339[[#This Row],[Part Number]],'2023 Pricing Rework'!$B$31:$F$754,5,FALSE)</f>
        <v>170.24</v>
      </c>
      <c r="J25" s="13">
        <f>VLOOKUP(Table339[[#This Row],[Part Number]],'2023 Pricing Rework'!$B$31:$F$754,4,FALSE)</f>
        <v>226.99</v>
      </c>
      <c r="K25" s="13">
        <f>Table339[[#This Row],[Your Price]]*Table339[[#This Row],[Qty]]</f>
        <v>0</v>
      </c>
    </row>
    <row r="26" spans="2:11" ht="14.4" customHeight="1">
      <c r="D26" s="330">
        <v>2811760790</v>
      </c>
      <c r="E26" t="s">
        <v>7</v>
      </c>
      <c r="F26" t="s">
        <v>6</v>
      </c>
      <c r="G26" s="2">
        <v>1</v>
      </c>
      <c r="H26" s="80"/>
      <c r="I26" s="318">
        <f>VLOOKUP(Table339[[#This Row],[Part Number]],'2023 Pricing Rework'!$B$31:$F$754,5,FALSE)</f>
        <v>170.2</v>
      </c>
      <c r="J26" s="13">
        <f>VLOOKUP(Table339[[#This Row],[Part Number]],'2023 Pricing Rework'!$B$31:$F$754,4,FALSE)</f>
        <v>226.92999999999998</v>
      </c>
      <c r="K26" s="13">
        <f>Table339[[#This Row],[Your Price]]*Table339[[#This Row],[Qty]]</f>
        <v>0</v>
      </c>
    </row>
    <row r="27" spans="2:11" ht="14.4" customHeight="1">
      <c r="D27" s="330"/>
      <c r="E27" s="1" t="s">
        <v>262</v>
      </c>
      <c r="F27" s="1" t="s">
        <v>11</v>
      </c>
      <c r="I27" s="13"/>
      <c r="J27" s="13"/>
      <c r="K27" s="13"/>
    </row>
    <row r="28" spans="2:11" ht="14.4" customHeight="1">
      <c r="B28" s="374" t="s">
        <v>1756</v>
      </c>
      <c r="D28" s="330">
        <v>2810850700</v>
      </c>
      <c r="E28" t="s">
        <v>9</v>
      </c>
      <c r="F28" t="s">
        <v>5</v>
      </c>
      <c r="G28" s="2">
        <v>1</v>
      </c>
      <c r="H28" s="80"/>
      <c r="I28" s="321">
        <f>VLOOKUP(Table339[[#This Row],[Part Number]],'2023 Pricing Rework'!$B$31:$F$754,5,FALSE)</f>
        <v>147.63</v>
      </c>
      <c r="J28" s="13">
        <f>VLOOKUP(Table339[[#This Row],[Part Number]],'2023 Pricing Rework'!$B$31:$F$754,4,FALSE)</f>
        <v>196.84</v>
      </c>
      <c r="K28" s="13">
        <f>Table339[[#This Row],[Your Price]]*Table339[[#This Row],[Qty]]</f>
        <v>0</v>
      </c>
    </row>
    <row r="29" spans="2:11" ht="14.4" customHeight="1">
      <c r="B29" s="374"/>
      <c r="D29" s="330">
        <v>2810860700</v>
      </c>
      <c r="E29" t="s">
        <v>9</v>
      </c>
      <c r="F29" t="s">
        <v>6</v>
      </c>
      <c r="G29" s="2">
        <v>1</v>
      </c>
      <c r="H29" s="80"/>
      <c r="I29" s="318">
        <f>VLOOKUP(Table339[[#This Row],[Part Number]],'2023 Pricing Rework'!$B$31:$F$754,5,FALSE)</f>
        <v>151.31</v>
      </c>
      <c r="J29" s="13">
        <f>VLOOKUP(Table339[[#This Row],[Part Number]],'2023 Pricing Rework'!$B$31:$F$754,4,FALSE)</f>
        <v>201.73999999999998</v>
      </c>
      <c r="K29" s="13">
        <f>Table339[[#This Row],[Your Price]]*Table339[[#This Row],[Qty]]</f>
        <v>0</v>
      </c>
    </row>
    <row r="30" spans="2:11" ht="14.4" customHeight="1">
      <c r="B30" s="374"/>
      <c r="D30" s="330">
        <v>2810870700</v>
      </c>
      <c r="E30" t="s">
        <v>9</v>
      </c>
      <c r="F30" t="s">
        <v>7</v>
      </c>
      <c r="G30" s="2">
        <v>1</v>
      </c>
      <c r="H30" s="80"/>
      <c r="I30" s="316">
        <f>VLOOKUP(Table339[[#This Row],[Part Number]],'2023 Pricing Rework'!$B$31:$F$754,5,FALSE)</f>
        <v>169.88</v>
      </c>
      <c r="J30" s="13">
        <f>VLOOKUP(Table339[[#This Row],[Part Number]],'2023 Pricing Rework'!$B$31:$F$754,4,FALSE)</f>
        <v>226.5</v>
      </c>
      <c r="K30" s="13">
        <f>Table339[[#This Row],[Your Price]]*Table339[[#This Row],[Qty]]</f>
        <v>0</v>
      </c>
    </row>
    <row r="31" spans="2:11" ht="14.4" customHeight="1">
      <c r="B31" s="374"/>
      <c r="D31" s="330">
        <v>2810970700</v>
      </c>
      <c r="E31" t="s">
        <v>10</v>
      </c>
      <c r="F31" t="s">
        <v>7</v>
      </c>
      <c r="G31" s="2">
        <v>1</v>
      </c>
      <c r="H31" s="80"/>
      <c r="I31" s="321">
        <f>VLOOKUP(Table339[[#This Row],[Part Number]],'2023 Pricing Rework'!$B$31:$F$754,5,FALSE)</f>
        <v>168.97</v>
      </c>
      <c r="J31" s="13">
        <f>VLOOKUP(Table339[[#This Row],[Part Number]],'2023 Pricing Rework'!$B$31:$F$754,4,FALSE)</f>
        <v>225.29</v>
      </c>
      <c r="K31" s="13">
        <f>Table339[[#This Row],[Your Price]]*Table339[[#This Row],[Qty]]</f>
        <v>0</v>
      </c>
    </row>
    <row r="32" spans="2:11" ht="14.4" customHeight="1">
      <c r="B32" s="374"/>
      <c r="D32" s="330">
        <v>2810980700</v>
      </c>
      <c r="E32" t="s">
        <v>10</v>
      </c>
      <c r="F32" t="s">
        <v>9</v>
      </c>
      <c r="G32" s="2">
        <v>1</v>
      </c>
      <c r="H32" s="81"/>
      <c r="I32" s="318">
        <f>VLOOKUP(Table339[[#This Row],[Part Number]],'2023 Pricing Rework'!$B$31:$F$754,5,FALSE)</f>
        <v>168.97</v>
      </c>
      <c r="J32" s="13">
        <f>VLOOKUP(Table339[[#This Row],[Part Number]],'2023 Pricing Rework'!$B$31:$F$754,4,FALSE)</f>
        <v>225.29</v>
      </c>
      <c r="K32" s="13">
        <f>Table339[[#This Row],[Your Price]]*Table339[[#This Row],[Qty]]</f>
        <v>0</v>
      </c>
    </row>
    <row r="33" spans="1:11" ht="14.4" customHeight="1">
      <c r="B33" s="374"/>
      <c r="D33" s="330"/>
      <c r="H33" s="23"/>
      <c r="I33" s="13"/>
      <c r="J33" s="13"/>
      <c r="K33" s="13"/>
    </row>
    <row r="34" spans="1:11" ht="14.4" customHeight="1">
      <c r="B34" s="374"/>
      <c r="D34" s="330"/>
      <c r="H34" s="23"/>
      <c r="I34" s="13"/>
      <c r="J34" s="13"/>
      <c r="K34" s="13"/>
    </row>
    <row r="35" spans="1:11" ht="14.4" customHeight="1">
      <c r="A35" s="62"/>
      <c r="B35" s="5" t="s">
        <v>273</v>
      </c>
      <c r="C35" s="6" t="s">
        <v>1104</v>
      </c>
      <c r="D35" s="330"/>
      <c r="H35" s="23"/>
      <c r="I35" s="13"/>
      <c r="J35" s="13"/>
      <c r="K35" s="13"/>
    </row>
    <row r="36" spans="1:11" ht="14.4" customHeight="1">
      <c r="A36" s="153"/>
      <c r="B36" s="369" t="s">
        <v>402</v>
      </c>
      <c r="D36" s="330"/>
      <c r="E36" s="1" t="s">
        <v>262</v>
      </c>
      <c r="F36" s="1" t="s">
        <v>11</v>
      </c>
      <c r="I36" s="13"/>
      <c r="J36" s="13"/>
      <c r="K36" s="13"/>
    </row>
    <row r="37" spans="1:11" ht="14.4" customHeight="1">
      <c r="A37" s="154"/>
      <c r="B37" s="370"/>
      <c r="D37" s="330">
        <v>2811000980</v>
      </c>
      <c r="E37" t="s">
        <v>2</v>
      </c>
      <c r="F37" t="s">
        <v>20</v>
      </c>
      <c r="G37" s="2">
        <v>1</v>
      </c>
      <c r="H37" s="80"/>
      <c r="I37" s="321">
        <f>VLOOKUP(Table339[[#This Row],[Part Number]],'2023 Pricing Rework'!$B$31:$F$754,5,FALSE)</f>
        <v>61.19</v>
      </c>
      <c r="J37" s="13">
        <f>VLOOKUP(Table339[[#This Row],[Part Number]],'2023 Pricing Rework'!$B$31:$F$754,4,FALSE)</f>
        <v>81.59</v>
      </c>
      <c r="K37" s="13">
        <f>Table339[[#This Row],[Your Price]]*Table339[[#This Row],[Qty]]</f>
        <v>0</v>
      </c>
    </row>
    <row r="38" spans="1:11" ht="14.4" customHeight="1">
      <c r="A38" s="154"/>
      <c r="B38" s="370"/>
      <c r="D38" s="330">
        <v>2811100980</v>
      </c>
      <c r="E38" t="s">
        <v>2</v>
      </c>
      <c r="F38" t="s">
        <v>21</v>
      </c>
      <c r="G38" s="2">
        <v>1</v>
      </c>
      <c r="H38" s="80"/>
      <c r="I38" s="318">
        <f>VLOOKUP(Table339[[#This Row],[Part Number]],'2023 Pricing Rework'!$B$31:$F$754,5,FALSE)</f>
        <v>62.03</v>
      </c>
      <c r="J38" s="13">
        <f>VLOOKUP(Table339[[#This Row],[Part Number]],'2023 Pricing Rework'!$B$31:$F$754,4,FALSE)</f>
        <v>82.710000000000008</v>
      </c>
      <c r="K38" s="13">
        <f>Table339[[#This Row],[Your Price]]*Table339[[#This Row],[Qty]]</f>
        <v>0</v>
      </c>
    </row>
    <row r="39" spans="1:11" ht="14.4" customHeight="1">
      <c r="A39" s="154"/>
      <c r="B39" s="155"/>
      <c r="D39" s="330">
        <v>2811200980</v>
      </c>
      <c r="E39" t="s">
        <v>3</v>
      </c>
      <c r="F39" t="s">
        <v>21</v>
      </c>
      <c r="G39" s="2">
        <v>1</v>
      </c>
      <c r="H39" s="80"/>
      <c r="I39" s="316">
        <f>VLOOKUP(Table339[[#This Row],[Part Number]],'2023 Pricing Rework'!$B$31:$F$754,5,FALSE)</f>
        <v>71.78</v>
      </c>
      <c r="J39" s="13">
        <f>VLOOKUP(Table339[[#This Row],[Part Number]],'2023 Pricing Rework'!$B$31:$F$754,4,FALSE)</f>
        <v>95.710000000000008</v>
      </c>
      <c r="K39" s="13">
        <f>Table339[[#This Row],[Your Price]]*Table339[[#This Row],[Qty]]</f>
        <v>0</v>
      </c>
    </row>
    <row r="40" spans="1:11" ht="14.4" customHeight="1">
      <c r="A40" s="154"/>
      <c r="B40" s="155"/>
      <c r="D40" s="330">
        <v>2811210980</v>
      </c>
      <c r="E40" t="s">
        <v>3</v>
      </c>
      <c r="F40" t="s">
        <v>23</v>
      </c>
      <c r="G40" s="2">
        <v>1</v>
      </c>
      <c r="H40" s="80"/>
      <c r="I40" s="321">
        <f>VLOOKUP(Table339[[#This Row],[Part Number]],'2023 Pricing Rework'!$B$31:$F$754,5,FALSE)</f>
        <v>68.78</v>
      </c>
      <c r="J40" s="13">
        <f>VLOOKUP(Table339[[#This Row],[Part Number]],'2023 Pricing Rework'!$B$31:$F$754,4,FALSE)</f>
        <v>91.7</v>
      </c>
      <c r="K40" s="13">
        <f>Table339[[#This Row],[Your Price]]*Table339[[#This Row],[Qty]]</f>
        <v>0</v>
      </c>
    </row>
    <row r="41" spans="1:11" ht="14.4" customHeight="1">
      <c r="A41" s="154"/>
      <c r="B41" s="371" t="s">
        <v>394</v>
      </c>
      <c r="D41" s="330">
        <v>2811420980</v>
      </c>
      <c r="E41" t="s">
        <v>4</v>
      </c>
      <c r="F41" t="s">
        <v>22</v>
      </c>
      <c r="G41" s="2">
        <v>1</v>
      </c>
      <c r="H41" s="80"/>
      <c r="I41" s="318">
        <f>VLOOKUP(Table339[[#This Row],[Part Number]],'2023 Pricing Rework'!$B$31:$F$754,5,FALSE)</f>
        <v>115.95</v>
      </c>
      <c r="J41" s="13">
        <f>VLOOKUP(Table339[[#This Row],[Part Number]],'2023 Pricing Rework'!$B$31:$F$754,4,FALSE)</f>
        <v>154.6</v>
      </c>
      <c r="K41" s="13">
        <f>Table339[[#This Row],[Your Price]]*Table339[[#This Row],[Qty]]</f>
        <v>0</v>
      </c>
    </row>
    <row r="42" spans="1:11" ht="14.5">
      <c r="A42" s="156"/>
      <c r="B42" s="372"/>
      <c r="C42" s="10"/>
      <c r="D42" s="330">
        <v>2811520980</v>
      </c>
      <c r="E42" t="s">
        <v>5</v>
      </c>
      <c r="F42" t="s">
        <v>22</v>
      </c>
      <c r="G42" s="2">
        <v>1</v>
      </c>
      <c r="H42" s="80"/>
      <c r="I42" s="316">
        <f>VLOOKUP(Table339[[#This Row],[Part Number]],'2023 Pricing Rework'!$B$31:$F$754,5,FALSE)</f>
        <v>128.21</v>
      </c>
      <c r="J42" s="13">
        <f>VLOOKUP(Table339[[#This Row],[Part Number]],'2023 Pricing Rework'!$B$31:$F$754,4,FALSE)</f>
        <v>170.94</v>
      </c>
      <c r="K42" s="13">
        <f>Table339[[#This Row],[Your Price]]*Table339[[#This Row],[Qty]]</f>
        <v>0</v>
      </c>
    </row>
    <row r="43" spans="1:11" ht="29" customHeight="1">
      <c r="C43" s="6" t="s">
        <v>1793</v>
      </c>
      <c r="D43" s="330"/>
      <c r="E43" s="1" t="s">
        <v>262</v>
      </c>
      <c r="F43" s="1" t="s">
        <v>11</v>
      </c>
      <c r="H43" s="23"/>
      <c r="I43" s="13"/>
      <c r="J43" s="13"/>
      <c r="K43" s="13"/>
    </row>
    <row r="44" spans="1:11" ht="14.4" customHeight="1">
      <c r="D44" s="330">
        <v>2811650990</v>
      </c>
      <c r="E44" t="s">
        <v>6</v>
      </c>
      <c r="F44" t="s">
        <v>24</v>
      </c>
      <c r="G44" s="2">
        <v>1</v>
      </c>
      <c r="H44" s="80"/>
      <c r="I44" s="321">
        <f>VLOOKUP(Table339[[#This Row],[Part Number]],'2023 Pricing Rework'!$B$31:$F$754,5,FALSE)</f>
        <v>134.09</v>
      </c>
      <c r="J44" s="13">
        <f>VLOOKUP(Table339[[#This Row],[Part Number]],'2023 Pricing Rework'!$B$31:$F$754,4,FALSE)</f>
        <v>178.78</v>
      </c>
      <c r="K44" s="13">
        <f>Table339[[#This Row],[Your Price]]*Table339[[#This Row],[Qty]]</f>
        <v>0</v>
      </c>
    </row>
    <row r="45" spans="1:11" ht="14.4" customHeight="1">
      <c r="C45" s="373"/>
      <c r="D45" s="330">
        <v>2811760990</v>
      </c>
      <c r="E45" t="s">
        <v>7</v>
      </c>
      <c r="F45" t="s">
        <v>25</v>
      </c>
      <c r="G45" s="2">
        <v>1</v>
      </c>
      <c r="H45" s="80"/>
      <c r="I45" s="318">
        <f>VLOOKUP(Table339[[#This Row],[Part Number]],'2023 Pricing Rework'!$B$31:$F$754,5,FALSE)</f>
        <v>287.27</v>
      </c>
      <c r="J45" s="13">
        <f>VLOOKUP(Table339[[#This Row],[Part Number]],'2023 Pricing Rework'!$B$31:$F$754,4,FALSE)</f>
        <v>383.02</v>
      </c>
      <c r="K45" s="13">
        <f>Table339[[#This Row],[Your Price]]*Table339[[#This Row],[Qty]]</f>
        <v>0</v>
      </c>
    </row>
    <row r="46" spans="1:11" ht="14.4" customHeight="1">
      <c r="C46" s="373"/>
      <c r="D46" s="330">
        <v>2811770990</v>
      </c>
      <c r="E46" t="s">
        <v>7</v>
      </c>
      <c r="F46" t="s">
        <v>26</v>
      </c>
      <c r="G46" s="2">
        <v>1</v>
      </c>
      <c r="H46" s="80"/>
      <c r="I46" s="316">
        <f>VLOOKUP(Table339[[#This Row],[Part Number]],'2023 Pricing Rework'!$B$31:$F$754,5,FALSE)</f>
        <v>145.83000000000001</v>
      </c>
      <c r="J46" s="13">
        <f>VLOOKUP(Table339[[#This Row],[Part Number]],'2023 Pricing Rework'!$B$31:$F$754,4,FALSE)</f>
        <v>194.44</v>
      </c>
      <c r="K46" s="13">
        <f>Table339[[#This Row],[Your Price]]*Table339[[#This Row],[Qty]]</f>
        <v>0</v>
      </c>
    </row>
    <row r="47" spans="1:11" ht="14.4" customHeight="1">
      <c r="D47" s="330">
        <v>2810820900</v>
      </c>
      <c r="E47" t="s">
        <v>9</v>
      </c>
      <c r="F47" t="s">
        <v>22</v>
      </c>
      <c r="G47" s="2">
        <v>1</v>
      </c>
      <c r="H47" s="80"/>
      <c r="I47" s="321">
        <f>VLOOKUP(Table339[[#This Row],[Part Number]],'2023 Pricing Rework'!$B$31:$F$754,5,FALSE)</f>
        <v>120.37</v>
      </c>
      <c r="J47" s="13">
        <f>VLOOKUP(Table339[[#This Row],[Part Number]],'2023 Pricing Rework'!$B$31:$F$754,4,FALSE)</f>
        <v>160.48999999999998</v>
      </c>
      <c r="K47" s="13">
        <f>Table339[[#This Row],[Your Price]]*Table339[[#This Row],[Qty]]</f>
        <v>0</v>
      </c>
    </row>
    <row r="48" spans="1:11" ht="14.4" customHeight="1">
      <c r="D48" s="330">
        <v>2810920900</v>
      </c>
      <c r="E48" t="s">
        <v>10</v>
      </c>
      <c r="F48" t="s">
        <v>22</v>
      </c>
      <c r="G48" s="2">
        <v>1</v>
      </c>
      <c r="H48" s="81"/>
      <c r="I48" s="318">
        <f>VLOOKUP(Table339[[#This Row],[Part Number]],'2023 Pricing Rework'!$B$31:$F$754,5,FALSE)</f>
        <v>307.86</v>
      </c>
      <c r="J48" s="13">
        <f>VLOOKUP(Table339[[#This Row],[Part Number]],'2023 Pricing Rework'!$B$31:$F$754,4,FALSE)</f>
        <v>410.48</v>
      </c>
      <c r="K48" s="13">
        <f>Table339[[#This Row],[Your Price]]*Table339[[#This Row],[Qty]]</f>
        <v>0</v>
      </c>
    </row>
    <row r="49" spans="3:11" ht="29" customHeight="1">
      <c r="C49" s="239" t="s">
        <v>1757</v>
      </c>
      <c r="D49" s="330"/>
      <c r="H49" s="23"/>
      <c r="I49" s="13"/>
      <c r="J49" s="13"/>
      <c r="K49" s="13"/>
    </row>
    <row r="50" spans="3:11" ht="14.4" customHeight="1">
      <c r="D50" s="330"/>
      <c r="E50" s="1" t="s">
        <v>262</v>
      </c>
      <c r="F50" s="1" t="s">
        <v>11</v>
      </c>
      <c r="H50" s="23"/>
      <c r="I50" s="159"/>
      <c r="J50" s="159"/>
      <c r="K50" s="12"/>
    </row>
    <row r="51" spans="3:11" ht="14.5" customHeight="1">
      <c r="D51" s="330">
        <v>2811646280</v>
      </c>
      <c r="E51" t="s">
        <v>6</v>
      </c>
      <c r="F51" t="s">
        <v>400</v>
      </c>
      <c r="G51" s="2">
        <v>1</v>
      </c>
      <c r="H51" s="80"/>
      <c r="I51" s="321">
        <f>VLOOKUP(Table339[[#This Row],[Part Number]],'2023 Pricing Rework'!$B$5:$F$754,5,FALSE)</f>
        <v>106.82</v>
      </c>
      <c r="J51" s="13">
        <f>VLOOKUP(Table339[[#This Row],[Part Number]],'2023 Pricing Rework'!$B$1:$F$754,4,FALSE)</f>
        <v>142.41999999999999</v>
      </c>
      <c r="K51" s="13">
        <f>Table339[[#This Row],[Your Price]]*Table339[[#This Row],[Qty]]</f>
        <v>0</v>
      </c>
    </row>
    <row r="52" spans="3:11" ht="14.5" customHeight="1">
      <c r="C52" s="10"/>
      <c r="D52" s="330">
        <v>2811746280</v>
      </c>
      <c r="E52" t="s">
        <v>7</v>
      </c>
      <c r="F52" t="s">
        <v>399</v>
      </c>
      <c r="G52" s="2">
        <v>1</v>
      </c>
      <c r="H52" s="80"/>
      <c r="I52" s="318">
        <f>VLOOKUP(Table339[[#This Row],[Part Number]],'2023 Pricing Rework'!$B$5:$F$754,5,FALSE)</f>
        <v>157.06</v>
      </c>
      <c r="J52" s="13">
        <f>VLOOKUP(Table339[[#This Row],[Part Number]],'2023 Pricing Rework'!$B$1:$F$754,4,FALSE)</f>
        <v>209.41</v>
      </c>
      <c r="K52" s="13">
        <f>Table339[[#This Row],[Your Price]]*Table339[[#This Row],[Qty]]</f>
        <v>0</v>
      </c>
    </row>
    <row r="53" spans="3:11" ht="14.4" customHeight="1">
      <c r="D53" s="330">
        <v>2811756280</v>
      </c>
      <c r="E53" t="s">
        <v>7</v>
      </c>
      <c r="F53" t="s">
        <v>5</v>
      </c>
      <c r="G53" s="2">
        <v>1</v>
      </c>
      <c r="H53" s="80"/>
      <c r="I53" s="316">
        <f>VLOOKUP(Table339[[#This Row],[Part Number]],'2023 Pricing Rework'!$B$5:$F$754,5,FALSE)</f>
        <v>185.47</v>
      </c>
      <c r="J53" s="13">
        <f>VLOOKUP(Table339[[#This Row],[Part Number]],'2023 Pricing Rework'!$B$1:$F$754,4,FALSE)</f>
        <v>247.3</v>
      </c>
      <c r="K53" s="13">
        <f>Table339[[#This Row],[Your Price]]*Table339[[#This Row],[Qty]]</f>
        <v>0</v>
      </c>
    </row>
    <row r="54" spans="3:11" ht="14.4" customHeight="1">
      <c r="D54" s="330"/>
      <c r="H54" s="23"/>
      <c r="I54" s="159"/>
      <c r="J54" s="159"/>
      <c r="K54" s="13"/>
    </row>
    <row r="55" spans="3:11" ht="14.4" customHeight="1">
      <c r="D55" s="330"/>
      <c r="H55" s="23"/>
      <c r="I55" s="159"/>
      <c r="J55" s="159"/>
      <c r="K55" s="13"/>
    </row>
    <row r="56" spans="3:11" ht="14.4" customHeight="1">
      <c r="D56" s="330"/>
      <c r="H56" s="23"/>
      <c r="I56" s="12"/>
      <c r="J56" s="12"/>
      <c r="K56" s="13"/>
    </row>
    <row r="57" spans="3:11" ht="14.4" customHeight="1"/>
  </sheetData>
  <sheetProtection algorithmName="SHA-512" hashValue="SPnOtc+ituoiMsv+3I99pi0ZicwgkNrKqIiMnRIBg4Q+zPc4kNZzA96xYmiAVylJBcvavikVXjr/HTCbEMeM2g==" saltValue="2jZEmrTQ+xSIMeVgcMMnlQ==" spinCount="100000" sheet="1" objects="1" scenarios="1" selectLockedCells="1"/>
  <mergeCells count="6">
    <mergeCell ref="D1:G1"/>
    <mergeCell ref="B36:B38"/>
    <mergeCell ref="B41:B42"/>
    <mergeCell ref="C45:C46"/>
    <mergeCell ref="B15:B20"/>
    <mergeCell ref="B28:B34"/>
  </mergeCells>
  <phoneticPr fontId="43" type="noConversion"/>
  <pageMargins left="0.7" right="0.7" top="0.75" bottom="0.75" header="0.3" footer="0.3"/>
  <pageSetup orientation="portrait" r:id="rId1"/>
  <ignoredErrors>
    <ignoredError sqref="K4:K6 K8:K11 K44:K48 K51:K53 K15:K20 K22:K26 K28 K37:K42 K29:K32 J51:J53" calculatedColumn="1"/>
  </ignoredErrors>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theme="5"/>
  </sheetPr>
  <dimension ref="A1:K79"/>
  <sheetViews>
    <sheetView showGridLines="0" showRowColHeader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0" customHeight="1" zeroHeight="1"/>
  <cols>
    <col min="1" max="1" width="0.90625" customWidth="1"/>
    <col min="2" max="2" width="25.81640625" style="1" customWidth="1"/>
    <col min="3" max="3" width="27.90625" style="1" bestFit="1" customWidth="1"/>
    <col min="4" max="4" width="14.81640625" style="2" customWidth="1"/>
    <col min="5" max="5" width="20.81640625" customWidth="1"/>
    <col min="6" max="6" width="28.81640625" customWidth="1"/>
    <col min="7" max="7" width="9.81640625" style="2" customWidth="1"/>
    <col min="8" max="8" width="11.81640625" style="7" customWidth="1"/>
    <col min="9" max="9" width="14" style="8" bestFit="1" customWidth="1"/>
    <col min="10" max="10" width="11.81640625" style="8" customWidth="1"/>
    <col min="11" max="11" width="13.81640625" style="8" customWidth="1"/>
    <col min="12" max="16384" width="8.90625" hidden="1"/>
  </cols>
  <sheetData>
    <row r="1" spans="1:11" ht="54" customHeight="1">
      <c r="A1" s="133"/>
      <c r="B1" s="133"/>
      <c r="C1" s="135"/>
      <c r="D1" s="367" t="s">
        <v>391</v>
      </c>
      <c r="E1" s="367"/>
      <c r="F1" s="367"/>
      <c r="G1" s="367"/>
      <c r="H1" s="22" t="s">
        <v>283</v>
      </c>
      <c r="I1"/>
      <c r="J1"/>
      <c r="K1"/>
    </row>
    <row r="2" spans="1:11" ht="18" customHeight="1">
      <c r="A2" s="61"/>
      <c r="B2" s="3" t="s">
        <v>0</v>
      </c>
      <c r="C2" s="3" t="s">
        <v>14</v>
      </c>
      <c r="D2" s="4" t="s">
        <v>304</v>
      </c>
      <c r="E2" s="4" t="s">
        <v>348</v>
      </c>
      <c r="F2" s="129" t="s">
        <v>352</v>
      </c>
      <c r="G2" s="4" t="s">
        <v>53</v>
      </c>
      <c r="H2" s="26" t="s">
        <v>207</v>
      </c>
      <c r="I2" s="324" t="s">
        <v>1824</v>
      </c>
      <c r="J2" s="20" t="s">
        <v>1823</v>
      </c>
      <c r="K2" s="20" t="s">
        <v>266</v>
      </c>
    </row>
    <row r="3" spans="1:11" ht="14.4" customHeight="1">
      <c r="A3" s="62"/>
      <c r="B3" s="5" t="s">
        <v>30</v>
      </c>
      <c r="C3" s="5" t="s">
        <v>31</v>
      </c>
      <c r="E3" s="1" t="s">
        <v>32</v>
      </c>
      <c r="F3" s="17" t="s">
        <v>33</v>
      </c>
      <c r="G3" s="19"/>
      <c r="I3" s="11"/>
      <c r="J3" s="11"/>
      <c r="K3" s="11"/>
    </row>
    <row r="4" spans="1:11" ht="14.4" customHeight="1">
      <c r="D4" s="330">
        <v>2811211080</v>
      </c>
      <c r="E4" t="s">
        <v>3</v>
      </c>
      <c r="F4" s="16" t="s">
        <v>2</v>
      </c>
      <c r="G4" s="2">
        <v>1</v>
      </c>
      <c r="H4" s="80"/>
      <c r="I4" s="321">
        <f>VLOOKUP(Table3310[[#This Row],[Part Number]],'2023 Pricing Rework'!$B$31:$F$754,5,FALSE)</f>
        <v>26.73</v>
      </c>
      <c r="J4" s="13">
        <f>VLOOKUP(Table3310[[#This Row],[Part Number]],'2023 Pricing Rework'!$B$31:$F$754,4,FALSE)</f>
        <v>35.64</v>
      </c>
      <c r="K4" s="13">
        <f>Table3310[[#This Row],[Your Price]]*Table3310[[#This Row],[Qty]]</f>
        <v>0</v>
      </c>
    </row>
    <row r="5" spans="1:11" ht="14.4" customHeight="1">
      <c r="D5" s="330">
        <v>2811411080</v>
      </c>
      <c r="E5" t="s">
        <v>4</v>
      </c>
      <c r="F5" s="16" t="s">
        <v>2</v>
      </c>
      <c r="G5" s="2">
        <v>1</v>
      </c>
      <c r="H5" s="80"/>
      <c r="I5" s="321">
        <f>VLOOKUP(Table3310[[#This Row],[Part Number]],'2023 Pricing Rework'!$B$31:$F$754,5,FALSE)</f>
        <v>37.630000000000003</v>
      </c>
      <c r="J5" s="13">
        <f>VLOOKUP(Table3310[[#This Row],[Part Number]],'2023 Pricing Rework'!$B$31:$F$754,4,FALSE)</f>
        <v>50.169999999999995</v>
      </c>
      <c r="K5" s="13">
        <f>Table3310[[#This Row],[Your Price]]*Table3310[[#This Row],[Qty]]</f>
        <v>0</v>
      </c>
    </row>
    <row r="6" spans="1:11" ht="14.4" customHeight="1">
      <c r="D6" s="330">
        <v>2811421080</v>
      </c>
      <c r="E6" t="s">
        <v>4</v>
      </c>
      <c r="F6" s="16" t="s">
        <v>3</v>
      </c>
      <c r="G6" s="2">
        <v>1</v>
      </c>
      <c r="H6" s="80"/>
      <c r="I6" s="321">
        <f>VLOOKUP(Table3310[[#This Row],[Part Number]],'2023 Pricing Rework'!$B$31:$F$754,5,FALSE)</f>
        <v>37.659999999999997</v>
      </c>
      <c r="J6" s="13">
        <f>VLOOKUP(Table3310[[#This Row],[Part Number]],'2023 Pricing Rework'!$B$31:$F$754,4,FALSE)</f>
        <v>50.21</v>
      </c>
      <c r="K6" s="13">
        <f>Table3310[[#This Row],[Your Price]]*Table3310[[#This Row],[Qty]]</f>
        <v>0</v>
      </c>
    </row>
    <row r="7" spans="1:11" ht="14.4" customHeight="1">
      <c r="D7" s="330">
        <v>2811511080</v>
      </c>
      <c r="E7" t="s">
        <v>5</v>
      </c>
      <c r="F7" s="16" t="s">
        <v>2</v>
      </c>
      <c r="G7" s="2">
        <v>1</v>
      </c>
      <c r="H7" s="80"/>
      <c r="I7" s="321">
        <f>VLOOKUP(Table3310[[#This Row],[Part Number]],'2023 Pricing Rework'!$B$31:$F$754,5,FALSE)</f>
        <v>51.12</v>
      </c>
      <c r="J7" s="13">
        <f>VLOOKUP(Table3310[[#This Row],[Part Number]],'2023 Pricing Rework'!$B$31:$F$754,4,FALSE)</f>
        <v>68.160000000000011</v>
      </c>
      <c r="K7" s="13">
        <f>Table3310[[#This Row],[Your Price]]*Table3310[[#This Row],[Qty]]</f>
        <v>0</v>
      </c>
    </row>
    <row r="8" spans="1:11" ht="14.4" customHeight="1">
      <c r="D8" s="330">
        <v>2811521080</v>
      </c>
      <c r="E8" t="s">
        <v>5</v>
      </c>
      <c r="F8" s="16" t="s">
        <v>3</v>
      </c>
      <c r="G8" s="2">
        <v>1</v>
      </c>
      <c r="H8" s="80"/>
      <c r="I8" s="321">
        <f>VLOOKUP(Table3310[[#This Row],[Part Number]],'2023 Pricing Rework'!$B$31:$F$754,5,FALSE)</f>
        <v>53.77</v>
      </c>
      <c r="J8" s="13">
        <f>VLOOKUP(Table3310[[#This Row],[Part Number]],'2023 Pricing Rework'!$B$31:$F$754,4,FALSE)</f>
        <v>71.690000000000012</v>
      </c>
      <c r="K8" s="13">
        <f>Table3310[[#This Row],[Your Price]]*Table3310[[#This Row],[Qty]]</f>
        <v>0</v>
      </c>
    </row>
    <row r="9" spans="1:11" ht="14.4" customHeight="1">
      <c r="D9" s="330">
        <v>2811611080</v>
      </c>
      <c r="E9" t="s">
        <v>6</v>
      </c>
      <c r="F9" s="16" t="s">
        <v>2</v>
      </c>
      <c r="G9" s="2">
        <v>1</v>
      </c>
      <c r="H9" s="80"/>
      <c r="I9" s="321">
        <f>VLOOKUP(Table3310[[#This Row],[Part Number]],'2023 Pricing Rework'!$B$31:$F$754,5,FALSE)</f>
        <v>64.36</v>
      </c>
      <c r="J9" s="13">
        <f>VLOOKUP(Table3310[[#This Row],[Part Number]],'2023 Pricing Rework'!$B$31:$F$754,4,FALSE)</f>
        <v>85.81</v>
      </c>
      <c r="K9" s="13">
        <f>Table3310[[#This Row],[Your Price]]*Table3310[[#This Row],[Qty]]</f>
        <v>0</v>
      </c>
    </row>
    <row r="10" spans="1:11" ht="14.4" customHeight="1">
      <c r="D10" s="330">
        <v>2811621080</v>
      </c>
      <c r="E10" t="s">
        <v>6</v>
      </c>
      <c r="F10" s="16" t="s">
        <v>3</v>
      </c>
      <c r="G10" s="2">
        <v>1</v>
      </c>
      <c r="H10" s="80"/>
      <c r="I10" s="321">
        <f>VLOOKUP(Table3310[[#This Row],[Part Number]],'2023 Pricing Rework'!$B$31:$F$754,5,FALSE)</f>
        <v>64.37</v>
      </c>
      <c r="J10" s="13">
        <f>VLOOKUP(Table3310[[#This Row],[Part Number]],'2023 Pricing Rework'!$B$31:$F$754,4,FALSE)</f>
        <v>85.820000000000007</v>
      </c>
      <c r="K10" s="13">
        <f>Table3310[[#This Row],[Your Price]]*Table3310[[#This Row],[Qty]]</f>
        <v>0</v>
      </c>
    </row>
    <row r="11" spans="1:11" ht="14.4" customHeight="1">
      <c r="B11"/>
      <c r="D11" s="330">
        <v>2811711080</v>
      </c>
      <c r="E11" t="s">
        <v>7</v>
      </c>
      <c r="F11" s="16" t="s">
        <v>2</v>
      </c>
      <c r="G11" s="2">
        <v>1</v>
      </c>
      <c r="H11" s="80"/>
      <c r="I11" s="321">
        <f>VLOOKUP(Table3310[[#This Row],[Part Number]],'2023 Pricing Rework'!$B$31:$F$754,5,FALSE)</f>
        <v>93.84</v>
      </c>
      <c r="J11" s="13">
        <f>VLOOKUP(Table3310[[#This Row],[Part Number]],'2023 Pricing Rework'!$B$31:$F$754,4,FALSE)</f>
        <v>125.12</v>
      </c>
      <c r="K11" s="13">
        <f>Table3310[[#This Row],[Your Price]]*Table3310[[#This Row],[Qty]]</f>
        <v>0</v>
      </c>
    </row>
    <row r="12" spans="1:11" ht="14.4" customHeight="1">
      <c r="D12" s="330">
        <v>2811721080</v>
      </c>
      <c r="E12" t="s">
        <v>7</v>
      </c>
      <c r="F12" s="16" t="s">
        <v>3</v>
      </c>
      <c r="G12" s="2">
        <v>1</v>
      </c>
      <c r="H12" s="81"/>
      <c r="I12" s="321">
        <f>VLOOKUP(Table3310[[#This Row],[Part Number]],'2023 Pricing Rework'!$B$31:$F$754,5,FALSE)</f>
        <v>95.97</v>
      </c>
      <c r="J12" s="13">
        <f>VLOOKUP(Table3310[[#This Row],[Part Number]],'2023 Pricing Rework'!$B$31:$F$754,4,FALSE)</f>
        <v>127.96000000000001</v>
      </c>
      <c r="K12" s="13">
        <f>Table3310[[#This Row],[Your Price]]*Table3310[[#This Row],[Qty]]</f>
        <v>0</v>
      </c>
    </row>
    <row r="13" spans="1:11" ht="14.4" customHeight="1">
      <c r="C13" s="5" t="s">
        <v>1794</v>
      </c>
      <c r="D13" s="330"/>
      <c r="F13" s="16"/>
      <c r="H13" s="111"/>
      <c r="I13" s="12"/>
      <c r="J13" s="12"/>
      <c r="K13" s="12"/>
    </row>
    <row r="14" spans="1:11" ht="14.4" customHeight="1">
      <c r="C14" s="246"/>
      <c r="D14" s="330">
        <v>2811811080</v>
      </c>
      <c r="E14" t="s">
        <v>9</v>
      </c>
      <c r="F14" s="16" t="s">
        <v>2</v>
      </c>
      <c r="G14" s="2">
        <v>1</v>
      </c>
      <c r="H14" s="234"/>
      <c r="I14" s="321">
        <f>VLOOKUP(Table3310[[#This Row],[Part Number]],'2023 Pricing Rework'!$B$31:$F$754,5,FALSE)</f>
        <v>132.94</v>
      </c>
      <c r="J14" s="13">
        <f>VLOOKUP(Table3310[[#This Row],[Part Number]],'2023 Pricing Rework'!$B$31:$F$754,4,FALSE)</f>
        <v>177.25</v>
      </c>
      <c r="K14" s="13">
        <f>Table3310[[#This Row],[Your Price]]*Table3310[[#This Row],[Qty]]</f>
        <v>0</v>
      </c>
    </row>
    <row r="15" spans="1:11" ht="14.4" customHeight="1">
      <c r="C15"/>
      <c r="D15" s="330">
        <v>2811821080</v>
      </c>
      <c r="E15" t="s">
        <v>9</v>
      </c>
      <c r="F15" s="16" t="s">
        <v>3</v>
      </c>
      <c r="G15" s="2">
        <v>1</v>
      </c>
      <c r="H15" s="80"/>
      <c r="I15" s="321">
        <f>VLOOKUP(Table3310[[#This Row],[Part Number]],'2023 Pricing Rework'!$B$31:$F$754,5,FALSE)</f>
        <v>146.24</v>
      </c>
      <c r="J15" s="13">
        <f>VLOOKUP(Table3310[[#This Row],[Part Number]],'2023 Pricing Rework'!$B$31:$F$754,4,FALSE)</f>
        <v>194.98999999999998</v>
      </c>
      <c r="K15" s="13">
        <f>Table3310[[#This Row],[Your Price]]*Table3310[[#This Row],[Qty]]</f>
        <v>0</v>
      </c>
    </row>
    <row r="16" spans="1:11" ht="14.4" customHeight="1">
      <c r="D16" s="330">
        <v>2811841080</v>
      </c>
      <c r="E16" t="s">
        <v>9</v>
      </c>
      <c r="F16" s="16" t="s">
        <v>1754</v>
      </c>
      <c r="G16" s="2">
        <v>1</v>
      </c>
      <c r="H16" s="80"/>
      <c r="I16" s="321">
        <f>VLOOKUP(Table3310[[#This Row],[Part Number]],'2023 Pricing Rework'!$B$31:$F$754,5,FALSE)</f>
        <v>160.85</v>
      </c>
      <c r="J16" s="13">
        <f>VLOOKUP(Table3310[[#This Row],[Part Number]],'2023 Pricing Rework'!$B$31:$F$754,4,FALSE)</f>
        <v>214.47</v>
      </c>
      <c r="K16" s="13">
        <f>Table3310[[#This Row],[Your Price]]*Table3310[[#This Row],[Qty]]</f>
        <v>0</v>
      </c>
    </row>
    <row r="17" spans="3:11" ht="14.4" customHeight="1">
      <c r="D17" s="330">
        <v>2811851080</v>
      </c>
      <c r="E17" t="s">
        <v>9</v>
      </c>
      <c r="F17" s="16" t="s">
        <v>5</v>
      </c>
      <c r="G17" s="2">
        <v>1</v>
      </c>
      <c r="H17" s="80"/>
      <c r="I17" s="321">
        <f>VLOOKUP(Table3310[[#This Row],[Part Number]],'2023 Pricing Rework'!$B$31:$F$754,5,FALSE)</f>
        <v>176.96</v>
      </c>
      <c r="J17" s="13">
        <f>VLOOKUP(Table3310[[#This Row],[Part Number]],'2023 Pricing Rework'!$B$31:$F$754,4,FALSE)</f>
        <v>235.94</v>
      </c>
      <c r="K17" s="13">
        <f>Table3310[[#This Row],[Your Price]]*Table3310[[#This Row],[Qty]]</f>
        <v>0</v>
      </c>
    </row>
    <row r="18" spans="3:11" ht="14.4" customHeight="1">
      <c r="D18" s="330">
        <v>2811911080</v>
      </c>
      <c r="E18" t="s">
        <v>10</v>
      </c>
      <c r="F18" s="16" t="s">
        <v>2</v>
      </c>
      <c r="G18" s="2">
        <v>1</v>
      </c>
      <c r="H18" s="80"/>
      <c r="I18" s="321">
        <f>VLOOKUP(Table3310[[#This Row],[Part Number]],'2023 Pricing Rework'!$B$31:$F$754,5,FALSE)</f>
        <v>210.04</v>
      </c>
      <c r="J18" s="13">
        <f>VLOOKUP(Table3310[[#This Row],[Part Number]],'2023 Pricing Rework'!$B$31:$F$754,4,FALSE)</f>
        <v>280.05</v>
      </c>
      <c r="K18" s="13">
        <f>Table3310[[#This Row],[Your Price]]*Table3310[[#This Row],[Qty]]</f>
        <v>0</v>
      </c>
    </row>
    <row r="19" spans="3:11" ht="14.4" customHeight="1">
      <c r="D19" s="330">
        <v>2811921080</v>
      </c>
      <c r="E19" t="s">
        <v>10</v>
      </c>
      <c r="F19" s="16" t="s">
        <v>3</v>
      </c>
      <c r="G19" s="2">
        <v>1</v>
      </c>
      <c r="H19" s="80"/>
      <c r="I19" s="321">
        <f>VLOOKUP(Table3310[[#This Row],[Part Number]],'2023 Pricing Rework'!$B$31:$F$754,5,FALSE)</f>
        <v>231.06</v>
      </c>
      <c r="J19" s="13">
        <f>VLOOKUP(Table3310[[#This Row],[Part Number]],'2023 Pricing Rework'!$B$31:$F$754,4,FALSE)</f>
        <v>308.08</v>
      </c>
      <c r="K19" s="13">
        <f>Table3310[[#This Row],[Your Price]]*Table3310[[#This Row],[Qty]]</f>
        <v>0</v>
      </c>
    </row>
    <row r="20" spans="3:11" ht="14.4" customHeight="1">
      <c r="D20" s="330">
        <v>2811941080</v>
      </c>
      <c r="E20" t="s">
        <v>10</v>
      </c>
      <c r="F20" s="16" t="s">
        <v>1754</v>
      </c>
      <c r="G20" s="2">
        <v>1</v>
      </c>
      <c r="H20" s="80"/>
      <c r="I20" s="321">
        <f>VLOOKUP(Table3310[[#This Row],[Part Number]],'2023 Pricing Rework'!$B$31:$F$754,5,FALSE)</f>
        <v>254.15</v>
      </c>
      <c r="J20" s="13">
        <f>VLOOKUP(Table3310[[#This Row],[Part Number]],'2023 Pricing Rework'!$B$31:$F$754,4,FALSE)</f>
        <v>338.86</v>
      </c>
      <c r="K20" s="13">
        <f>Table3310[[#This Row],[Your Price]]*Table3310[[#This Row],[Qty]]</f>
        <v>0</v>
      </c>
    </row>
    <row r="21" spans="3:11" ht="14.4" customHeight="1">
      <c r="D21" s="330">
        <v>2811951080</v>
      </c>
      <c r="E21" t="s">
        <v>10</v>
      </c>
      <c r="F21" s="16" t="s">
        <v>5</v>
      </c>
      <c r="G21" s="2">
        <v>1</v>
      </c>
      <c r="H21" s="81"/>
      <c r="I21" s="321">
        <f>VLOOKUP(Table3310[[#This Row],[Part Number]],'2023 Pricing Rework'!$B$31:$F$754,5,FALSE)</f>
        <v>279.58</v>
      </c>
      <c r="J21" s="13">
        <f>VLOOKUP(Table3310[[#This Row],[Part Number]],'2023 Pricing Rework'!$B$31:$F$754,4,FALSE)</f>
        <v>372.77</v>
      </c>
      <c r="K21" s="13">
        <f>Table3310[[#This Row],[Your Price]]*Table3310[[#This Row],[Qty]]</f>
        <v>0</v>
      </c>
    </row>
    <row r="22" spans="3:11" ht="14.4" customHeight="1">
      <c r="D22" s="330"/>
      <c r="F22" s="16"/>
      <c r="H22" s="23"/>
      <c r="I22" s="12"/>
      <c r="J22" s="12"/>
      <c r="K22" s="12"/>
    </row>
    <row r="23" spans="3:11" ht="14.4" customHeight="1">
      <c r="C23" s="5" t="s">
        <v>260</v>
      </c>
      <c r="D23" s="330"/>
      <c r="E23" s="1" t="s">
        <v>32</v>
      </c>
      <c r="F23" s="17" t="s">
        <v>33</v>
      </c>
      <c r="I23" s="13"/>
      <c r="J23" s="13"/>
      <c r="K23" s="13"/>
    </row>
    <row r="24" spans="3:11" ht="14.4" customHeight="1">
      <c r="D24" s="330">
        <v>2811201280</v>
      </c>
      <c r="E24" t="s">
        <v>3</v>
      </c>
      <c r="F24" s="16" t="s">
        <v>357</v>
      </c>
      <c r="G24" s="2">
        <v>1</v>
      </c>
      <c r="H24" s="80"/>
      <c r="I24" s="321">
        <f>VLOOKUP(Table3310[[#This Row],[Part Number]],'2023 Pricing Rework'!$B$31:$F$754,5,FALSE)</f>
        <v>26.29</v>
      </c>
      <c r="J24" s="13">
        <f>VLOOKUP(Table3310[[#This Row],[Part Number]],'2023 Pricing Rework'!$B$31:$F$754,4,FALSE)</f>
        <v>35.049999999999997</v>
      </c>
      <c r="K24" s="13">
        <f>Table3310[[#This Row],[Your Price]]*Table3310[[#This Row],[Qty]]</f>
        <v>0</v>
      </c>
    </row>
    <row r="25" spans="3:11" ht="14.4" customHeight="1">
      <c r="D25" s="330">
        <v>2811401280</v>
      </c>
      <c r="E25" t="s">
        <v>4</v>
      </c>
      <c r="F25" s="16" t="s">
        <v>357</v>
      </c>
      <c r="G25" s="2">
        <v>1</v>
      </c>
      <c r="H25" s="80"/>
      <c r="I25" s="321">
        <f>VLOOKUP(Table3310[[#This Row],[Part Number]],'2023 Pricing Rework'!$B$31:$F$754,5,FALSE)</f>
        <v>41.42</v>
      </c>
      <c r="J25" s="13">
        <f>VLOOKUP(Table3310[[#This Row],[Part Number]],'2023 Pricing Rework'!$B$31:$F$754,4,FALSE)</f>
        <v>55.23</v>
      </c>
      <c r="K25" s="13">
        <f>Table3310[[#This Row],[Your Price]]*Table3310[[#This Row],[Qty]]</f>
        <v>0</v>
      </c>
    </row>
    <row r="26" spans="3:11" ht="14.4" customHeight="1">
      <c r="D26" s="330">
        <v>2811411280</v>
      </c>
      <c r="E26" t="s">
        <v>4</v>
      </c>
      <c r="F26" s="16" t="s">
        <v>358</v>
      </c>
      <c r="G26" s="2">
        <v>1</v>
      </c>
      <c r="H26" s="80"/>
      <c r="I26" s="321">
        <f>VLOOKUP(Table3310[[#This Row],[Part Number]],'2023 Pricing Rework'!$B$31:$F$754,5,FALSE)</f>
        <v>43.91</v>
      </c>
      <c r="J26" s="13">
        <f>VLOOKUP(Table3310[[#This Row],[Part Number]],'2023 Pricing Rework'!$B$31:$F$754,4,FALSE)</f>
        <v>58.55</v>
      </c>
      <c r="K26" s="13">
        <f>Table3310[[#This Row],[Your Price]]*Table3310[[#This Row],[Qty]]</f>
        <v>0</v>
      </c>
    </row>
    <row r="27" spans="3:11" ht="14.4" customHeight="1">
      <c r="D27" s="330">
        <v>2811501280</v>
      </c>
      <c r="E27" t="s">
        <v>5</v>
      </c>
      <c r="F27" s="16" t="s">
        <v>357</v>
      </c>
      <c r="G27" s="2">
        <v>1</v>
      </c>
      <c r="H27" s="80"/>
      <c r="I27" s="321">
        <f>VLOOKUP(Table3310[[#This Row],[Part Number]],'2023 Pricing Rework'!$B$31:$F$754,5,FALSE)</f>
        <v>59.14</v>
      </c>
      <c r="J27" s="13">
        <f>VLOOKUP(Table3310[[#This Row],[Part Number]],'2023 Pricing Rework'!$B$31:$F$754,4,FALSE)</f>
        <v>78.850000000000009</v>
      </c>
      <c r="K27" s="13">
        <f>Table3310[[#This Row],[Your Price]]*Table3310[[#This Row],[Qty]]</f>
        <v>0</v>
      </c>
    </row>
    <row r="28" spans="3:11" ht="14.4" customHeight="1">
      <c r="D28" s="330">
        <v>2811511280</v>
      </c>
      <c r="E28" t="s">
        <v>5</v>
      </c>
      <c r="F28" s="16" t="s">
        <v>358</v>
      </c>
      <c r="G28" s="2">
        <v>1</v>
      </c>
      <c r="H28" s="80"/>
      <c r="I28" s="321">
        <f>VLOOKUP(Table3310[[#This Row],[Part Number]],'2023 Pricing Rework'!$B$31:$F$754,5,FALSE)</f>
        <v>60.56</v>
      </c>
      <c r="J28" s="13">
        <f>VLOOKUP(Table3310[[#This Row],[Part Number]],'2023 Pricing Rework'!$B$31:$F$754,4,FALSE)</f>
        <v>80.75</v>
      </c>
      <c r="K28" s="13">
        <f>Table3310[[#This Row],[Your Price]]*Table3310[[#This Row],[Qty]]</f>
        <v>0</v>
      </c>
    </row>
    <row r="29" spans="3:11" ht="14.4" customHeight="1">
      <c r="D29" s="330">
        <v>2811601280</v>
      </c>
      <c r="E29" t="s">
        <v>6</v>
      </c>
      <c r="F29" s="16" t="s">
        <v>357</v>
      </c>
      <c r="G29" s="2">
        <v>1</v>
      </c>
      <c r="H29" s="80"/>
      <c r="I29" s="321">
        <f>VLOOKUP(Table3310[[#This Row],[Part Number]],'2023 Pricing Rework'!$B$31:$F$754,5,FALSE)</f>
        <v>67.430000000000007</v>
      </c>
      <c r="J29" s="13">
        <f>VLOOKUP(Table3310[[#This Row],[Part Number]],'2023 Pricing Rework'!$B$31:$F$754,4,FALSE)</f>
        <v>89.910000000000011</v>
      </c>
      <c r="K29" s="13">
        <f>Table3310[[#This Row],[Your Price]]*Table3310[[#This Row],[Qty]]</f>
        <v>0</v>
      </c>
    </row>
    <row r="30" spans="3:11" ht="14.4" customHeight="1">
      <c r="D30" s="330">
        <v>2811611280</v>
      </c>
      <c r="E30" t="s">
        <v>6</v>
      </c>
      <c r="F30" s="16" t="s">
        <v>358</v>
      </c>
      <c r="G30" s="2">
        <v>1</v>
      </c>
      <c r="H30" s="80"/>
      <c r="I30" s="321">
        <f>VLOOKUP(Table3310[[#This Row],[Part Number]],'2023 Pricing Rework'!$B$31:$F$754,5,FALSE)</f>
        <v>68.55</v>
      </c>
      <c r="J30" s="13">
        <f>VLOOKUP(Table3310[[#This Row],[Part Number]],'2023 Pricing Rework'!$B$31:$F$754,4,FALSE)</f>
        <v>91.4</v>
      </c>
      <c r="K30" s="13">
        <f>Table3310[[#This Row],[Your Price]]*Table3310[[#This Row],[Qty]]</f>
        <v>0</v>
      </c>
    </row>
    <row r="31" spans="3:11" ht="14.4" customHeight="1">
      <c r="D31" s="330">
        <v>2811701280</v>
      </c>
      <c r="E31" t="s">
        <v>7</v>
      </c>
      <c r="F31" s="16" t="s">
        <v>357</v>
      </c>
      <c r="G31" s="2">
        <v>1</v>
      </c>
      <c r="H31" s="80"/>
      <c r="I31" s="321">
        <f>VLOOKUP(Table3310[[#This Row],[Part Number]],'2023 Pricing Rework'!$B$31:$F$754,5,FALSE)</f>
        <v>111.77</v>
      </c>
      <c r="J31" s="13">
        <f>VLOOKUP(Table3310[[#This Row],[Part Number]],'2023 Pricing Rework'!$B$31:$F$754,4,FALSE)</f>
        <v>149.01999999999998</v>
      </c>
      <c r="K31" s="13">
        <f>Table3310[[#This Row],[Your Price]]*Table3310[[#This Row],[Qty]]</f>
        <v>0</v>
      </c>
    </row>
    <row r="32" spans="3:11" ht="14.4" customHeight="1">
      <c r="D32" s="330">
        <v>2811711280</v>
      </c>
      <c r="E32" t="s">
        <v>7</v>
      </c>
      <c r="F32" s="16" t="s">
        <v>358</v>
      </c>
      <c r="G32" s="2">
        <v>1</v>
      </c>
      <c r="H32" s="236"/>
      <c r="I32" s="321">
        <f>VLOOKUP(Table3310[[#This Row],[Part Number]],'2023 Pricing Rework'!$B$31:$F$754,5,FALSE)</f>
        <v>136.49</v>
      </c>
      <c r="J32" s="13">
        <f>VLOOKUP(Table3310[[#This Row],[Part Number]],'2023 Pricing Rework'!$B$31:$F$754,4,FALSE)</f>
        <v>181.98999999999998</v>
      </c>
      <c r="K32" s="13">
        <f>Table3310[[#This Row],[Your Price]]*Table3310[[#This Row],[Qty]]</f>
        <v>0</v>
      </c>
    </row>
    <row r="33" spans="1:11" ht="14.4" customHeight="1">
      <c r="C33" s="5" t="s">
        <v>1794</v>
      </c>
      <c r="D33" s="330"/>
      <c r="F33" s="16"/>
      <c r="H33" s="111"/>
      <c r="I33" s="12"/>
      <c r="J33" s="12"/>
      <c r="K33" s="13"/>
    </row>
    <row r="34" spans="1:11" ht="14.4" customHeight="1">
      <c r="C34" s="246"/>
      <c r="D34" s="330">
        <v>2811811280</v>
      </c>
      <c r="E34" t="s">
        <v>9</v>
      </c>
      <c r="F34" s="16" t="s">
        <v>358</v>
      </c>
      <c r="G34" s="2">
        <v>1</v>
      </c>
      <c r="H34" s="237"/>
      <c r="I34" s="321">
        <f>VLOOKUP(Table3310[[#This Row],[Part Number]],'2023 Pricing Rework'!$B$31:$F$754,5,FALSE)</f>
        <v>132.94</v>
      </c>
      <c r="J34" s="13">
        <f>VLOOKUP(Table3310[[#This Row],[Part Number]],'2023 Pricing Rework'!$B$31:$F$754,4,FALSE)</f>
        <v>177.25</v>
      </c>
      <c r="K34" s="13">
        <f>Table3310[[#This Row],[Your Price]]*Table3310[[#This Row],[Qty]]</f>
        <v>0</v>
      </c>
    </row>
    <row r="35" spans="1:11" ht="14.4" customHeight="1">
      <c r="D35" s="330">
        <v>2811821280</v>
      </c>
      <c r="E35" t="s">
        <v>9</v>
      </c>
      <c r="F35" s="16" t="s">
        <v>359</v>
      </c>
      <c r="G35" s="2">
        <v>1</v>
      </c>
      <c r="H35" s="152"/>
      <c r="I35" s="321">
        <f>VLOOKUP(Table3310[[#This Row],[Part Number]],'2023 Pricing Rework'!$B$31:$F$754,5,FALSE)</f>
        <v>146.24</v>
      </c>
      <c r="J35" s="13">
        <f>VLOOKUP(Table3310[[#This Row],[Part Number]],'2023 Pricing Rework'!$B$31:$F$754,4,FALSE)</f>
        <v>194.98999999999998</v>
      </c>
      <c r="K35" s="13">
        <f>Table3310[[#This Row],[Your Price]]*Table3310[[#This Row],[Qty]]</f>
        <v>0</v>
      </c>
    </row>
    <row r="36" spans="1:11" ht="14.4" customHeight="1">
      <c r="D36" s="330">
        <v>2811841280</v>
      </c>
      <c r="E36" t="s">
        <v>9</v>
      </c>
      <c r="F36" s="16" t="s">
        <v>372</v>
      </c>
      <c r="G36" s="2">
        <v>1</v>
      </c>
      <c r="H36" s="152"/>
      <c r="I36" s="321">
        <f>VLOOKUP(Table3310[[#This Row],[Part Number]],'2023 Pricing Rework'!$B$31:$F$754,5,FALSE)</f>
        <v>160.85</v>
      </c>
      <c r="J36" s="13">
        <f>VLOOKUP(Table3310[[#This Row],[Part Number]],'2023 Pricing Rework'!$B$31:$F$754,4,FALSE)</f>
        <v>214.47</v>
      </c>
      <c r="K36" s="13">
        <f>Table3310[[#This Row],[Your Price]]*Table3310[[#This Row],[Qty]]</f>
        <v>0</v>
      </c>
    </row>
    <row r="37" spans="1:11" ht="14.4" customHeight="1">
      <c r="D37" s="330">
        <v>2811851280</v>
      </c>
      <c r="E37" t="s">
        <v>9</v>
      </c>
      <c r="F37" s="16" t="s">
        <v>1755</v>
      </c>
      <c r="G37" s="2">
        <v>1</v>
      </c>
      <c r="H37" s="152"/>
      <c r="I37" s="321">
        <f>VLOOKUP(Table3310[[#This Row],[Part Number]],'2023 Pricing Rework'!$B$31:$F$754,5,FALSE)</f>
        <v>176.94</v>
      </c>
      <c r="J37" s="13">
        <f>VLOOKUP(Table3310[[#This Row],[Part Number]],'2023 Pricing Rework'!$B$31:$F$754,4,FALSE)</f>
        <v>235.92</v>
      </c>
      <c r="K37" s="13">
        <f>Table3310[[#This Row],[Your Price]]*Table3310[[#This Row],[Qty]]</f>
        <v>0</v>
      </c>
    </row>
    <row r="38" spans="1:11" ht="14.4" customHeight="1">
      <c r="D38" s="330">
        <v>2811911280</v>
      </c>
      <c r="E38" t="s">
        <v>10</v>
      </c>
      <c r="F38" s="16" t="s">
        <v>358</v>
      </c>
      <c r="G38" s="2">
        <v>1</v>
      </c>
      <c r="H38" s="152"/>
      <c r="I38" s="321">
        <f>VLOOKUP(Table3310[[#This Row],[Part Number]],'2023 Pricing Rework'!$B$31:$F$754,5,FALSE)</f>
        <v>210.04</v>
      </c>
      <c r="J38" s="13">
        <f>VLOOKUP(Table3310[[#This Row],[Part Number]],'2023 Pricing Rework'!$B$31:$F$754,4,FALSE)</f>
        <v>280.05</v>
      </c>
      <c r="K38" s="13">
        <f>Table3310[[#This Row],[Your Price]]*Table3310[[#This Row],[Qty]]</f>
        <v>0</v>
      </c>
    </row>
    <row r="39" spans="1:11" ht="14.4" customHeight="1">
      <c r="D39" s="330">
        <v>2811921280</v>
      </c>
      <c r="E39" t="s">
        <v>10</v>
      </c>
      <c r="F39" s="16" t="s">
        <v>359</v>
      </c>
      <c r="G39" s="2">
        <v>1</v>
      </c>
      <c r="H39" s="152"/>
      <c r="I39" s="321">
        <f>VLOOKUP(Table3310[[#This Row],[Part Number]],'2023 Pricing Rework'!$B$31:$F$754,5,FALSE)</f>
        <v>231.06</v>
      </c>
      <c r="J39" s="13">
        <f>VLOOKUP(Table3310[[#This Row],[Part Number]],'2023 Pricing Rework'!$B$31:$F$754,4,FALSE)</f>
        <v>308.08</v>
      </c>
      <c r="K39" s="13">
        <f>Table3310[[#This Row],[Your Price]]*Table3310[[#This Row],[Qty]]</f>
        <v>0</v>
      </c>
    </row>
    <row r="40" spans="1:11" ht="14.4" customHeight="1">
      <c r="D40" s="330">
        <v>2811941280</v>
      </c>
      <c r="E40" t="s">
        <v>10</v>
      </c>
      <c r="F40" s="16" t="s">
        <v>372</v>
      </c>
      <c r="G40" s="2">
        <v>1</v>
      </c>
      <c r="H40" s="152"/>
      <c r="I40" s="321">
        <f>VLOOKUP(Table3310[[#This Row],[Part Number]],'2023 Pricing Rework'!$B$31:$F$754,5,FALSE)</f>
        <v>254.15</v>
      </c>
      <c r="J40" s="13">
        <f>VLOOKUP(Table3310[[#This Row],[Part Number]],'2023 Pricing Rework'!$B$31:$F$754,4,FALSE)</f>
        <v>338.86</v>
      </c>
      <c r="K40" s="13">
        <f>Table3310[[#This Row],[Your Price]]*Table3310[[#This Row],[Qty]]</f>
        <v>0</v>
      </c>
    </row>
    <row r="41" spans="1:11" ht="14.4" customHeight="1">
      <c r="D41" s="330">
        <v>2811951280</v>
      </c>
      <c r="E41" t="s">
        <v>10</v>
      </c>
      <c r="F41" s="16" t="s">
        <v>1755</v>
      </c>
      <c r="G41" s="2">
        <v>1</v>
      </c>
      <c r="H41" s="235"/>
      <c r="I41" s="321">
        <f>VLOOKUP(Table3310[[#This Row],[Part Number]],'2023 Pricing Rework'!$B$31:$F$754,5,FALSE)</f>
        <v>279.58</v>
      </c>
      <c r="J41" s="13">
        <f>VLOOKUP(Table3310[[#This Row],[Part Number]],'2023 Pricing Rework'!$B$31:$F$754,4,FALSE)</f>
        <v>372.77</v>
      </c>
      <c r="K41" s="13">
        <f>Table3310[[#This Row],[Your Price]]*Table3310[[#This Row],[Qty]]</f>
        <v>0</v>
      </c>
    </row>
    <row r="42" spans="1:11" ht="14.4" customHeight="1">
      <c r="D42" s="330"/>
      <c r="F42" s="16"/>
      <c r="H42" s="111"/>
      <c r="I42" s="12"/>
      <c r="J42" s="12"/>
      <c r="K42" s="12"/>
    </row>
    <row r="43" spans="1:11" ht="14.4" hidden="1" customHeight="1">
      <c r="A43" s="62"/>
      <c r="B43" s="5" t="s">
        <v>274</v>
      </c>
      <c r="C43" s="5"/>
      <c r="D43" s="330"/>
      <c r="E43" s="1" t="s">
        <v>32</v>
      </c>
      <c r="F43" s="17" t="s">
        <v>33</v>
      </c>
      <c r="I43" s="13"/>
      <c r="J43" s="13"/>
      <c r="K43" s="13"/>
    </row>
    <row r="44" spans="1:11" ht="14.4" hidden="1" customHeight="1">
      <c r="D44" s="330">
        <v>1630020001</v>
      </c>
      <c r="E44" t="s">
        <v>275</v>
      </c>
      <c r="F44" s="16" t="s">
        <v>359</v>
      </c>
      <c r="G44" s="2">
        <v>1</v>
      </c>
      <c r="H44" s="80"/>
      <c r="I44" s="13" t="e">
        <f>VLOOKUP(D44,#REF!,5,FALSE)</f>
        <v>#REF!</v>
      </c>
      <c r="J44" s="13"/>
      <c r="K44" s="13" t="e">
        <f>Table3310[[#This Row],[Your Price]]*Table3310[[#This Row],[Qty]]</f>
        <v>#REF!</v>
      </c>
    </row>
    <row r="45" spans="1:11" ht="14.4" hidden="1" customHeight="1">
      <c r="D45" s="330">
        <v>1630020003</v>
      </c>
      <c r="E45" t="s">
        <v>276</v>
      </c>
      <c r="F45" s="16" t="s">
        <v>359</v>
      </c>
      <c r="G45" s="59">
        <v>1</v>
      </c>
      <c r="H45" s="80"/>
      <c r="I45" s="13" t="e">
        <f>VLOOKUP(D45,#REF!,5,FALSE)</f>
        <v>#REF!</v>
      </c>
      <c r="J45" s="13"/>
      <c r="K45" s="13" t="e">
        <f>Table3310[[#This Row],[Your Price]]*Table3310[[#This Row],[Qty]]</f>
        <v>#REF!</v>
      </c>
    </row>
    <row r="46" spans="1:11" ht="14.4" hidden="1" customHeight="1">
      <c r="D46" s="330"/>
      <c r="F46" s="16"/>
      <c r="I46" s="13"/>
      <c r="J46" s="13"/>
      <c r="K46" s="13"/>
    </row>
    <row r="47" spans="1:11" ht="14.4" hidden="1" customHeight="1">
      <c r="D47" s="330"/>
      <c r="F47" s="16"/>
      <c r="I47" s="13"/>
      <c r="J47" s="13"/>
      <c r="K47" s="13"/>
    </row>
    <row r="48" spans="1:11" ht="14.4" hidden="1" customHeight="1">
      <c r="D48" s="330"/>
      <c r="F48" s="16"/>
      <c r="I48" s="13"/>
      <c r="J48" s="13"/>
      <c r="K48" s="13"/>
    </row>
    <row r="49" spans="1:11" ht="14.4" hidden="1" customHeight="1">
      <c r="D49" s="330"/>
      <c r="F49" s="16"/>
      <c r="I49" s="13"/>
      <c r="J49" s="13"/>
      <c r="K49" s="13"/>
    </row>
    <row r="50" spans="1:11" ht="14.4" customHeight="1">
      <c r="A50" s="62"/>
      <c r="B50" s="6" t="s">
        <v>84</v>
      </c>
      <c r="C50" s="5" t="s">
        <v>88</v>
      </c>
      <c r="D50" s="330"/>
      <c r="E50" s="1" t="s">
        <v>32</v>
      </c>
      <c r="F50" s="17" t="s">
        <v>385</v>
      </c>
      <c r="I50" s="13"/>
      <c r="J50" s="13"/>
      <c r="K50" s="13"/>
    </row>
    <row r="51" spans="1:11" ht="14.4" customHeight="1">
      <c r="B51" s="10"/>
      <c r="C51" s="9"/>
      <c r="D51" s="330">
        <v>2811102480</v>
      </c>
      <c r="E51" t="s">
        <v>2</v>
      </c>
      <c r="F51" s="16" t="s">
        <v>386</v>
      </c>
      <c r="G51" s="2">
        <v>1</v>
      </c>
      <c r="H51" s="80"/>
      <c r="I51" s="321">
        <f>VLOOKUP(Table3310[[#This Row],[Part Number]],'2023 Pricing Rework'!$B$31:$F$754,5,FALSE)</f>
        <v>32.86</v>
      </c>
      <c r="J51" s="13">
        <f>VLOOKUP(Table3310[[#This Row],[Part Number]],'2023 Pricing Rework'!$B$31:$F$754,4,FALSE)</f>
        <v>43.809999999999995</v>
      </c>
      <c r="K51" s="13">
        <f>Table3310[[#This Row],[Your Price]]*Table3310[[#This Row],[Qty]]</f>
        <v>0</v>
      </c>
    </row>
    <row r="52" spans="1:11" ht="14.4" customHeight="1">
      <c r="B52" s="10"/>
      <c r="C52" s="9"/>
      <c r="D52" s="330">
        <v>2811202480</v>
      </c>
      <c r="E52" t="s">
        <v>3</v>
      </c>
      <c r="F52" s="16" t="s">
        <v>386</v>
      </c>
      <c r="G52" s="2">
        <v>1</v>
      </c>
      <c r="H52" s="80"/>
      <c r="I52" s="321">
        <f>VLOOKUP(Table3310[[#This Row],[Part Number]],'2023 Pricing Rework'!$B$31:$F$754,5,FALSE)</f>
        <v>33</v>
      </c>
      <c r="J52" s="13">
        <f>VLOOKUP(Table3310[[#This Row],[Part Number]],'2023 Pricing Rework'!$B$31:$F$754,4,FALSE)</f>
        <v>44</v>
      </c>
      <c r="K52" s="13">
        <f>Table3310[[#This Row],[Your Price]]*Table3310[[#This Row],[Qty]]</f>
        <v>0</v>
      </c>
    </row>
    <row r="53" spans="1:11" ht="14.4" customHeight="1">
      <c r="B53" s="10"/>
      <c r="C53" s="9"/>
      <c r="D53" s="330">
        <v>2811104180</v>
      </c>
      <c r="E53" t="s">
        <v>2</v>
      </c>
      <c r="F53" s="16" t="s">
        <v>444</v>
      </c>
      <c r="G53" s="2">
        <v>1</v>
      </c>
      <c r="H53" s="80"/>
      <c r="I53" s="321">
        <f>VLOOKUP(Table3310[[#This Row],[Part Number]],'2023 Pricing Rework'!$B$31:$F$754,5,FALSE)</f>
        <v>29.9</v>
      </c>
      <c r="J53" s="13">
        <f>VLOOKUP(Table3310[[#This Row],[Part Number]],'2023 Pricing Rework'!$B$31:$F$754,4,FALSE)</f>
        <v>39.869999999999997</v>
      </c>
      <c r="K53" s="13">
        <f>Table3310[[#This Row],[Your Price]]*Table3310[[#This Row],[Qty]]</f>
        <v>0</v>
      </c>
    </row>
    <row r="54" spans="1:11" ht="14.4" customHeight="1">
      <c r="B54" s="10"/>
      <c r="C54" s="9"/>
      <c r="D54" s="330">
        <v>2811204180</v>
      </c>
      <c r="E54" t="s">
        <v>3</v>
      </c>
      <c r="F54" s="16" t="s">
        <v>444</v>
      </c>
      <c r="G54" s="2">
        <v>1</v>
      </c>
      <c r="H54" s="80"/>
      <c r="I54" s="321">
        <f>VLOOKUP(Table3310[[#This Row],[Part Number]],'2023 Pricing Rework'!$B$31:$F$754,5,FALSE)</f>
        <v>36.799999999999997</v>
      </c>
      <c r="J54" s="13">
        <f>VLOOKUP(Table3310[[#This Row],[Part Number]],'2023 Pricing Rework'!$B$31:$F$754,4,FALSE)</f>
        <v>49.059999999999995</v>
      </c>
      <c r="K54" s="13">
        <f>Table3310[[#This Row],[Your Price]]*Table3310[[#This Row],[Qty]]</f>
        <v>0</v>
      </c>
    </row>
    <row r="55" spans="1:11" ht="14.4" customHeight="1">
      <c r="D55" s="330">
        <v>2811104380</v>
      </c>
      <c r="E55" t="s">
        <v>2</v>
      </c>
      <c r="F55" s="16" t="s">
        <v>443</v>
      </c>
      <c r="G55" s="2">
        <v>1</v>
      </c>
      <c r="H55" s="80"/>
      <c r="I55" s="321">
        <f>VLOOKUP(Table3310[[#This Row],[Part Number]],'2023 Pricing Rework'!$B$31:$F$754,5,FALSE)</f>
        <v>92.44</v>
      </c>
      <c r="J55" s="13">
        <f>VLOOKUP(Table3310[[#This Row],[Part Number]],'2023 Pricing Rework'!$B$31:$F$754,4,FALSE)</f>
        <v>123.25</v>
      </c>
      <c r="K55" s="13">
        <f>Table3310[[#This Row],[Your Price]]*Table3310[[#This Row],[Qty]]</f>
        <v>0</v>
      </c>
    </row>
    <row r="56" spans="1:11" ht="14.4" customHeight="1">
      <c r="B56" s="249"/>
      <c r="D56" s="330">
        <v>2811204380</v>
      </c>
      <c r="E56" t="s">
        <v>3</v>
      </c>
      <c r="F56" s="16" t="s">
        <v>443</v>
      </c>
      <c r="G56" s="2">
        <v>1</v>
      </c>
      <c r="H56" s="80"/>
      <c r="I56" s="321">
        <f>VLOOKUP(Table3310[[#This Row],[Part Number]],'2023 Pricing Rework'!$B$31:$F$754,5,FALSE)</f>
        <v>110.63</v>
      </c>
      <c r="J56" s="13">
        <f>VLOOKUP(Table3310[[#This Row],[Part Number]],'2023 Pricing Rework'!$B$31:$F$754,4,FALSE)</f>
        <v>147.5</v>
      </c>
      <c r="K56" s="13">
        <f>Table3310[[#This Row],[Your Price]]*Table3310[[#This Row],[Qty]]</f>
        <v>0</v>
      </c>
    </row>
    <row r="57" spans="1:11" ht="14.4" customHeight="1">
      <c r="B57" s="249"/>
      <c r="C57" s="5" t="s">
        <v>38</v>
      </c>
      <c r="D57" s="330"/>
      <c r="E57" s="1" t="s">
        <v>39</v>
      </c>
      <c r="F57" s="17" t="s">
        <v>277</v>
      </c>
      <c r="I57" s="13"/>
      <c r="J57" s="13"/>
      <c r="K57" s="13"/>
    </row>
    <row r="58" spans="1:11" ht="14.4" customHeight="1">
      <c r="B58" s="249"/>
      <c r="D58" s="330">
        <v>2811002680</v>
      </c>
      <c r="E58" t="s">
        <v>357</v>
      </c>
      <c r="F58" s="16" t="s">
        <v>357</v>
      </c>
      <c r="G58" s="2">
        <v>1</v>
      </c>
      <c r="H58" s="80"/>
      <c r="I58" s="321">
        <f>VLOOKUP(Table3310[[#This Row],[Part Number]],'2023 Pricing Rework'!$B$31:$F$754,5,FALSE)</f>
        <v>34.17</v>
      </c>
      <c r="J58" s="13">
        <f>VLOOKUP(Table3310[[#This Row],[Part Number]],'2023 Pricing Rework'!$B$31:$F$754,4,FALSE)</f>
        <v>45.559999999999995</v>
      </c>
      <c r="K58" s="13">
        <f>Table3310[[#This Row],[Your Price]]*Table3310[[#This Row],[Qty]]</f>
        <v>0</v>
      </c>
    </row>
    <row r="59" spans="1:11" ht="14.4" customHeight="1">
      <c r="B59" s="249"/>
      <c r="D59" s="330">
        <v>2811102680</v>
      </c>
      <c r="E59" t="s">
        <v>358</v>
      </c>
      <c r="F59" s="16" t="s">
        <v>357</v>
      </c>
      <c r="G59" s="2">
        <v>1</v>
      </c>
      <c r="H59" s="80"/>
      <c r="I59" s="321">
        <f>VLOOKUP(Table3310[[#This Row],[Part Number]],'2023 Pricing Rework'!$B$31:$F$754,5,FALSE)</f>
        <v>34.78</v>
      </c>
      <c r="J59" s="13">
        <f>VLOOKUP(Table3310[[#This Row],[Part Number]],'2023 Pricing Rework'!$B$31:$F$754,4,FALSE)</f>
        <v>46.37</v>
      </c>
      <c r="K59" s="13">
        <f>Table3310[[#This Row],[Your Price]]*Table3310[[#This Row],[Qty]]</f>
        <v>0</v>
      </c>
    </row>
    <row r="60" spans="1:11" ht="40" customHeight="1">
      <c r="B60" s="249"/>
      <c r="D60" s="330"/>
      <c r="F60" s="16"/>
      <c r="H60" s="111"/>
      <c r="I60" s="251"/>
      <c r="J60" s="251"/>
      <c r="K60" s="12"/>
    </row>
    <row r="61" spans="1:11" ht="14.4" customHeight="1">
      <c r="B61" s="249"/>
      <c r="C61" s="5" t="s">
        <v>1796</v>
      </c>
      <c r="D61" s="330"/>
      <c r="E61" s="19" t="s">
        <v>445</v>
      </c>
      <c r="F61" s="16"/>
      <c r="H61" s="111"/>
      <c r="I61" s="13"/>
      <c r="J61" s="13"/>
      <c r="K61" s="13"/>
    </row>
    <row r="62" spans="1:11" ht="14.4" customHeight="1">
      <c r="B62" s="249"/>
      <c r="D62" s="330"/>
      <c r="E62" s="1" t="s">
        <v>417</v>
      </c>
      <c r="F62" s="17" t="s">
        <v>55</v>
      </c>
      <c r="H62" s="111"/>
      <c r="I62" s="13"/>
      <c r="J62" s="13"/>
      <c r="K62" s="13"/>
    </row>
    <row r="63" spans="1:11" ht="14.4" customHeight="1">
      <c r="B63" s="247"/>
      <c r="D63" s="330">
        <v>2811007502</v>
      </c>
      <c r="E63" t="s">
        <v>416</v>
      </c>
      <c r="F63" s="16" t="s">
        <v>1797</v>
      </c>
      <c r="G63" s="182" t="s">
        <v>1123</v>
      </c>
      <c r="H63" s="158"/>
      <c r="I63" s="321">
        <f>VLOOKUP(Table3310[[#This Row],[Part Number]],'2023 Pricing Rework'!$B$31:$F$754,5,FALSE)</f>
        <v>7.14</v>
      </c>
      <c r="J63" s="13">
        <f>VLOOKUP(Table3310[[#This Row],[Part Number]],'2023 Pricing Rework'!$B$31:$F$754,4,FALSE)</f>
        <v>9.52</v>
      </c>
      <c r="K63" s="13">
        <f>Table3310[[#This Row],[Your Price]]*Table3310[[#This Row],[Qty]]</f>
        <v>0</v>
      </c>
    </row>
    <row r="64" spans="1:11" ht="57.5" customHeight="1">
      <c r="B64" s="248"/>
      <c r="F64" s="16"/>
      <c r="G64" s="181"/>
      <c r="I64" s="13"/>
      <c r="J64" s="13"/>
      <c r="K64" s="13"/>
    </row>
    <row r="65" ht="14.4" hidden="1" customHeight="1"/>
    <row r="66" ht="14.4" hidden="1" customHeight="1"/>
    <row r="67" ht="14.4" hidden="1" customHeight="1"/>
    <row r="68" ht="14.4" hidden="1" customHeight="1"/>
    <row r="69" ht="14.4" hidden="1" customHeight="1"/>
    <row r="70" ht="14.4" hidden="1" customHeight="1"/>
    <row r="71" ht="14.4" hidden="1" customHeight="1"/>
    <row r="72" ht="14.4" hidden="1" customHeight="1"/>
    <row r="76" ht="14.4" hidden="1" customHeight="1"/>
    <row r="77" ht="14.4" hidden="1" customHeight="1"/>
    <row r="78" ht="14.4" hidden="1" customHeight="1"/>
    <row r="79" ht="14.4" hidden="1" customHeight="1"/>
  </sheetData>
  <sheetProtection algorithmName="SHA-512" hashValue="S99Op7WV01g11jkQsWRjrxageNKrOob6TGdERFWbSzTmHvxAzeXXQsXgOgyFZuwN4TS8W5DKQJ5/l3pb2TCybA==" saltValue="Iib7G+x/oSFVq8kD2ZN54Q==" spinCount="100000" sheet="1" objects="1" scenarios="1" selectLockedCells="1"/>
  <mergeCells count="1">
    <mergeCell ref="D1:G1"/>
  </mergeCells>
  <phoneticPr fontId="43" type="noConversion"/>
  <pageMargins left="0.7" right="0.7" top="0.75" bottom="0.75" header="0.3" footer="0.3"/>
  <pageSetup orientation="portrait" r:id="rId1"/>
  <ignoredErrors>
    <ignoredError sqref="K50:K59 K63 K4:K12 K14:K21 K23:K32 K34:K41" calculatedColumn="1"/>
  </ignoredErrors>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5"/>
  </sheetPr>
  <dimension ref="A1:L82"/>
  <sheetViews>
    <sheetView showGridLines="0" zoomScaleNormal="100" workbookViewId="0">
      <pane xSplit="3" ySplit="2" topLeftCell="D3" activePane="bottomRight" state="frozen"/>
      <selection activeCell="A4" sqref="A4"/>
      <selection pane="topRight" activeCell="A4" sqref="A4"/>
      <selection pane="bottomLeft" activeCell="A4" sqref="A4"/>
      <selection pane="bottomRight" activeCell="H16" sqref="H16"/>
    </sheetView>
  </sheetViews>
  <sheetFormatPr defaultColWidth="0" defaultRowHeight="14.4" customHeight="1" zeroHeight="1"/>
  <cols>
    <col min="1" max="1" width="0.90625" customWidth="1"/>
    <col min="2" max="3" width="25.81640625" style="1" customWidth="1"/>
    <col min="4" max="4" width="14.81640625" style="2" customWidth="1"/>
    <col min="5" max="5" width="20.81640625" customWidth="1"/>
    <col min="6" max="6" width="35" bestFit="1" customWidth="1"/>
    <col min="7" max="7" width="9.81640625" style="2" customWidth="1"/>
    <col min="8" max="8" width="11.81640625" style="7" customWidth="1"/>
    <col min="9" max="9" width="14" style="8" bestFit="1" customWidth="1"/>
    <col min="10" max="10" width="11.81640625" style="8" customWidth="1"/>
    <col min="11" max="11" width="13.81640625" style="8" customWidth="1"/>
    <col min="12" max="12" width="0" hidden="1" customWidth="1"/>
    <col min="13" max="16384" width="8.90625" hidden="1"/>
  </cols>
  <sheetData>
    <row r="1" spans="1:11" ht="54" customHeight="1">
      <c r="A1" s="133"/>
      <c r="B1" s="136"/>
      <c r="C1" s="135"/>
      <c r="D1" s="367" t="s">
        <v>292</v>
      </c>
      <c r="E1" s="367"/>
      <c r="F1" s="367"/>
      <c r="G1" s="367"/>
      <c r="H1" s="22" t="s">
        <v>283</v>
      </c>
    </row>
    <row r="2" spans="1:11" ht="18" customHeight="1">
      <c r="A2" s="61"/>
      <c r="B2" s="3" t="s">
        <v>292</v>
      </c>
      <c r="C2" s="3" t="s">
        <v>14</v>
      </c>
      <c r="D2" s="4" t="s">
        <v>304</v>
      </c>
      <c r="E2" s="129" t="s">
        <v>348</v>
      </c>
      <c r="F2" s="129" t="s">
        <v>89</v>
      </c>
      <c r="G2" s="4" t="s">
        <v>53</v>
      </c>
      <c r="H2" s="26" t="s">
        <v>207</v>
      </c>
      <c r="I2" s="324" t="s">
        <v>1824</v>
      </c>
      <c r="J2" s="20" t="s">
        <v>1823</v>
      </c>
      <c r="K2" s="20" t="s">
        <v>266</v>
      </c>
    </row>
    <row r="3" spans="1:11" ht="14.4" hidden="1" customHeight="1">
      <c r="A3" s="62"/>
      <c r="G3" s="19"/>
      <c r="I3" s="13"/>
      <c r="J3" s="13" t="e">
        <f>VLOOKUP(Table336[[#This Row],[Part Number]],'2023 Pricing Rework'!$B$31:$F$754,4, FALSE)</f>
        <v>#N/A</v>
      </c>
      <c r="K3" s="13"/>
    </row>
    <row r="4" spans="1:11" ht="14.4" hidden="1" customHeight="1">
      <c r="D4" s="160"/>
      <c r="F4" t="s">
        <v>298</v>
      </c>
      <c r="G4" s="2">
        <v>1</v>
      </c>
      <c r="H4" s="80"/>
      <c r="I4" s="13" t="e">
        <f>VLOOKUP(Table336[[#This Row],[Part Number]],#REF!,11,FALSE)</f>
        <v>#REF!</v>
      </c>
      <c r="J4" s="13" t="e">
        <f>VLOOKUP(Table336[[#This Row],[Part Number]],'2023 Pricing Rework'!$B$31:$F$754,4, FALSE)</f>
        <v>#N/A</v>
      </c>
      <c r="K4" s="13" t="e">
        <f>Table336[[#This Row],[Your Price]]*Table336[[#This Row],[Qty]]</f>
        <v>#REF!</v>
      </c>
    </row>
    <row r="5" spans="1:11" ht="14.4" hidden="1" customHeight="1">
      <c r="D5" s="160"/>
      <c r="F5" t="s">
        <v>298</v>
      </c>
      <c r="G5" s="2">
        <v>1</v>
      </c>
      <c r="H5" s="80"/>
      <c r="I5" s="13" t="e">
        <f>VLOOKUP(Table336[[#This Row],[Part Number]],#REF!,11,FALSE)</f>
        <v>#REF!</v>
      </c>
      <c r="J5" s="13" t="e">
        <f>VLOOKUP(Table336[[#This Row],[Part Number]],'2023 Pricing Rework'!$B$31:$F$754,4, FALSE)</f>
        <v>#N/A</v>
      </c>
      <c r="K5" s="13" t="e">
        <f>Table336[[#This Row],[Your Price]]*Table336[[#This Row],[Qty]]</f>
        <v>#REF!</v>
      </c>
    </row>
    <row r="6" spans="1:11" ht="14.4" hidden="1" customHeight="1">
      <c r="F6" t="s">
        <v>418</v>
      </c>
      <c r="G6" s="2">
        <v>1</v>
      </c>
      <c r="H6" s="80"/>
      <c r="I6" s="13" t="e">
        <f>VLOOKUP(Table336[[#This Row],[Part Number]],#REF!,11,FALSE)</f>
        <v>#REF!</v>
      </c>
      <c r="J6" s="13" t="e">
        <f>VLOOKUP(Table336[[#This Row],[Part Number]],'2023 Pricing Rework'!$B$31:$F$754,4, FALSE)</f>
        <v>#N/A</v>
      </c>
      <c r="K6" s="13" t="e">
        <f>Table336[[#This Row],[Your Price]]*Table336[[#This Row],[Qty]]</f>
        <v>#REF!</v>
      </c>
    </row>
    <row r="7" spans="1:11" ht="14.4" hidden="1" customHeight="1">
      <c r="F7" t="s">
        <v>418</v>
      </c>
      <c r="G7" s="2">
        <v>1</v>
      </c>
      <c r="H7" s="80"/>
      <c r="I7" s="13" t="e">
        <f>VLOOKUP(Table336[[#This Row],[Part Number]],#REF!,11,FALSE)</f>
        <v>#REF!</v>
      </c>
      <c r="J7" s="13" t="e">
        <f>VLOOKUP(Table336[[#This Row],[Part Number]],'2023 Pricing Rework'!$B$31:$F$754,4, FALSE)</f>
        <v>#N/A</v>
      </c>
      <c r="K7" s="13" t="e">
        <f>Table336[[#This Row],[Your Price]]*Table336[[#This Row],[Qty]]</f>
        <v>#REF!</v>
      </c>
    </row>
    <row r="8" spans="1:11" ht="16.75" hidden="1" customHeight="1">
      <c r="I8" s="13"/>
      <c r="J8" s="13" t="e">
        <f>VLOOKUP(Table336[[#This Row],[Part Number]],'2023 Pricing Rework'!$B$31:$F$754,4, FALSE)</f>
        <v>#N/A</v>
      </c>
      <c r="K8" s="13"/>
    </row>
    <row r="9" spans="1:11" ht="14.4" hidden="1" customHeight="1">
      <c r="I9" s="13"/>
      <c r="J9" s="13" t="e">
        <f>VLOOKUP(Table336[[#This Row],[Part Number]],'2023 Pricing Rework'!$B$31:$F$754,4, FALSE)</f>
        <v>#N/A</v>
      </c>
      <c r="K9" s="13"/>
    </row>
    <row r="10" spans="1:11" ht="14.4" hidden="1" customHeight="1">
      <c r="D10" s="160"/>
      <c r="F10" t="s">
        <v>298</v>
      </c>
      <c r="G10" s="2">
        <v>1</v>
      </c>
      <c r="H10" s="80"/>
      <c r="I10" s="13" t="e">
        <f>VLOOKUP(Table336[[#This Row],[Part Number]],#REF!,11,FALSE)</f>
        <v>#REF!</v>
      </c>
      <c r="J10" s="13" t="e">
        <f>VLOOKUP(Table336[[#This Row],[Part Number]],'2023 Pricing Rework'!$B$31:$F$754,4, FALSE)</f>
        <v>#N/A</v>
      </c>
      <c r="K10" s="13" t="e">
        <f>Table336[[#This Row],[Your Price]]*Table336[[#This Row],[Qty]]</f>
        <v>#REF!</v>
      </c>
    </row>
    <row r="11" spans="1:11" ht="14.4" hidden="1" customHeight="1">
      <c r="D11" s="160"/>
      <c r="F11" t="s">
        <v>298</v>
      </c>
      <c r="G11" s="2">
        <v>1</v>
      </c>
      <c r="H11" s="80"/>
      <c r="I11" s="13" t="e">
        <f>VLOOKUP(Table336[[#This Row],[Part Number]],#REF!,11,FALSE)</f>
        <v>#REF!</v>
      </c>
      <c r="J11" s="13" t="e">
        <f>VLOOKUP(Table336[[#This Row],[Part Number]],'2023 Pricing Rework'!$B$31:$F$754,4, FALSE)</f>
        <v>#N/A</v>
      </c>
      <c r="K11" s="13" t="e">
        <f>Table336[[#This Row],[Your Price]]*Table336[[#This Row],[Qty]]</f>
        <v>#REF!</v>
      </c>
    </row>
    <row r="12" spans="1:11" ht="14.4" hidden="1" customHeight="1">
      <c r="I12"/>
      <c r="J12" s="317" t="e">
        <f>VLOOKUP(Table336[[#This Row],[Part Number]],'2023 Pricing Rework'!$B$31:$F$754,4, FALSE)</f>
        <v>#N/A</v>
      </c>
      <c r="K12"/>
    </row>
    <row r="13" spans="1:11" ht="14.4" hidden="1" customHeight="1">
      <c r="I13"/>
      <c r="J13" s="317" t="e">
        <f>VLOOKUP(Table336[[#This Row],[Part Number]],'2023 Pricing Rework'!$B$31:$F$754,4, FALSE)</f>
        <v>#N/A</v>
      </c>
      <c r="K13"/>
    </row>
    <row r="14" spans="1:11" ht="14.4" hidden="1" customHeight="1">
      <c r="C14" s="9"/>
      <c r="I14"/>
      <c r="J14" s="317" t="e">
        <f>VLOOKUP(Table336[[#This Row],[Part Number]],'2023 Pricing Rework'!$B$31:$F$754,4, FALSE)</f>
        <v>#N/A</v>
      </c>
      <c r="K14"/>
    </row>
    <row r="15" spans="1:11" ht="14.4" customHeight="1">
      <c r="C15" s="5" t="s">
        <v>29</v>
      </c>
      <c r="I15"/>
      <c r="J15" s="317"/>
      <c r="K15"/>
    </row>
    <row r="16" spans="1:11" ht="14.4" customHeight="1">
      <c r="D16" s="330">
        <v>2811105181</v>
      </c>
      <c r="E16" t="s">
        <v>2</v>
      </c>
      <c r="F16" t="s">
        <v>310</v>
      </c>
      <c r="G16" s="2">
        <v>1</v>
      </c>
      <c r="H16" s="80"/>
      <c r="I16" s="321">
        <f>VLOOKUP(Table336[[#This Row],[Part Number]],'2023 Pricing Rework'!$B$31:$F$754,5, FALSE)</f>
        <v>72.2</v>
      </c>
      <c r="J16" s="13">
        <f>VLOOKUP(Table336[[#This Row],[Part Number]],'2023 Pricing Rework'!$B$31:$F$754,4, FALSE)</f>
        <v>96.27000000000001</v>
      </c>
      <c r="K16" s="13">
        <f>Table336[[#This Row],[Your Price]]*Table336[[#This Row],[Qty]]</f>
        <v>0</v>
      </c>
    </row>
    <row r="17" spans="3:11" ht="14.4" customHeight="1">
      <c r="D17" s="330">
        <v>2811205181</v>
      </c>
      <c r="E17" t="s">
        <v>3</v>
      </c>
      <c r="F17" t="s">
        <v>310</v>
      </c>
      <c r="G17" s="2">
        <v>1</v>
      </c>
      <c r="H17" s="80"/>
      <c r="I17" s="321">
        <f>VLOOKUP(Table336[[#This Row],[Part Number]],'2023 Pricing Rework'!$B$31:$F$754,5, FALSE)</f>
        <v>86.87</v>
      </c>
      <c r="J17" s="13">
        <f>VLOOKUP(Table336[[#This Row],[Part Number]],'2023 Pricing Rework'!$B$31:$F$754,4, FALSE)</f>
        <v>115.83</v>
      </c>
      <c r="K17" s="13">
        <f>Table336[[#This Row],[Your Price]]*Table336[[#This Row],[Qty]]</f>
        <v>0</v>
      </c>
    </row>
    <row r="18" spans="3:11" ht="14.4" customHeight="1">
      <c r="D18" s="330">
        <v>2811405181</v>
      </c>
      <c r="E18" t="s">
        <v>4</v>
      </c>
      <c r="F18" t="s">
        <v>310</v>
      </c>
      <c r="G18" s="2">
        <v>1</v>
      </c>
      <c r="H18" s="80"/>
      <c r="I18" s="321">
        <f>VLOOKUP(Table336[[#This Row],[Part Number]],'2023 Pricing Rework'!$B$31:$F$754,5, FALSE)</f>
        <v>125.16</v>
      </c>
      <c r="J18" s="13">
        <f>VLOOKUP(Table336[[#This Row],[Part Number]],'2023 Pricing Rework'!$B$31:$F$754,4, FALSE)</f>
        <v>166.88</v>
      </c>
      <c r="K18" s="13">
        <f>Table336[[#This Row],[Your Price]]*Table336[[#This Row],[Qty]]</f>
        <v>0</v>
      </c>
    </row>
    <row r="19" spans="3:11" ht="14.4" customHeight="1">
      <c r="D19" s="330">
        <v>2811505181</v>
      </c>
      <c r="E19" t="s">
        <v>5</v>
      </c>
      <c r="F19" t="s">
        <v>310</v>
      </c>
      <c r="G19" s="2">
        <v>1</v>
      </c>
      <c r="H19" s="80"/>
      <c r="I19" s="321">
        <f>VLOOKUP(Table336[[#This Row],[Part Number]],'2023 Pricing Rework'!$B$31:$F$754,5, FALSE)</f>
        <v>200.45</v>
      </c>
      <c r="J19" s="13">
        <f>VLOOKUP(Table336[[#This Row],[Part Number]],'2023 Pricing Rework'!$B$31:$F$754,4, FALSE)</f>
        <v>267.27</v>
      </c>
      <c r="K19" s="13">
        <f>Table336[[#This Row],[Your Price]]*Table336[[#This Row],[Qty]]</f>
        <v>0</v>
      </c>
    </row>
    <row r="20" spans="3:11" ht="29" customHeight="1">
      <c r="C20" s="6" t="s">
        <v>448</v>
      </c>
      <c r="D20" s="330"/>
      <c r="I20"/>
      <c r="J20" s="317"/>
      <c r="K20"/>
    </row>
    <row r="21" spans="3:11" ht="14.4" customHeight="1">
      <c r="D21" s="330">
        <v>2811115381</v>
      </c>
      <c r="E21" t="s">
        <v>305</v>
      </c>
      <c r="F21" t="s">
        <v>309</v>
      </c>
      <c r="G21" s="2">
        <v>1</v>
      </c>
      <c r="H21" s="80"/>
      <c r="I21" s="321">
        <f>VLOOKUP(Table336[[#This Row],[Part Number]],'2023 Pricing Rework'!$B$31:$F$754,5, FALSE)</f>
        <v>57.75</v>
      </c>
      <c r="J21" s="13">
        <f>VLOOKUP(Table336[[#This Row],[Part Number]],'2023 Pricing Rework'!$B$31:$F$754,4, FALSE)</f>
        <v>77</v>
      </c>
      <c r="K21" s="13">
        <f>Table336[[#This Row],[Your Price]]*Table336[[#This Row],[Qty]]</f>
        <v>0</v>
      </c>
    </row>
    <row r="22" spans="3:11" ht="14.4" customHeight="1">
      <c r="D22" s="330">
        <v>2811225381</v>
      </c>
      <c r="E22" t="s">
        <v>306</v>
      </c>
      <c r="F22" t="s">
        <v>309</v>
      </c>
      <c r="G22" s="2">
        <v>1</v>
      </c>
      <c r="H22" s="80"/>
      <c r="I22" s="321">
        <f>VLOOKUP(Table336[[#This Row],[Part Number]],'2023 Pricing Rework'!$B$31:$F$754,5, FALSE)</f>
        <v>89.26</v>
      </c>
      <c r="J22" s="13">
        <f>VLOOKUP(Table336[[#This Row],[Part Number]],'2023 Pricing Rework'!$B$31:$F$754,4, FALSE)</f>
        <v>119.01</v>
      </c>
      <c r="K22" s="13">
        <f>Table336[[#This Row],[Your Price]]*Table336[[#This Row],[Qty]]</f>
        <v>0</v>
      </c>
    </row>
    <row r="23" spans="3:11" ht="14.4" customHeight="1">
      <c r="D23" s="330">
        <v>2811445381</v>
      </c>
      <c r="E23" t="s">
        <v>307</v>
      </c>
      <c r="F23" t="s">
        <v>309</v>
      </c>
      <c r="G23" s="2">
        <v>1</v>
      </c>
      <c r="H23" s="80"/>
      <c r="I23" s="321">
        <f>VLOOKUP(Table336[[#This Row],[Part Number]],'2023 Pricing Rework'!$B$31:$F$754,5, FALSE)</f>
        <v>122.05</v>
      </c>
      <c r="J23" s="13">
        <f>VLOOKUP(Table336[[#This Row],[Part Number]],'2023 Pricing Rework'!$B$31:$F$754,4, FALSE)</f>
        <v>162.72999999999999</v>
      </c>
      <c r="K23" s="13">
        <f>Table336[[#This Row],[Your Price]]*Table336[[#This Row],[Qty]]</f>
        <v>0</v>
      </c>
    </row>
    <row r="24" spans="3:11" ht="16.25" customHeight="1">
      <c r="D24" s="330">
        <v>2811555381</v>
      </c>
      <c r="E24" t="s">
        <v>308</v>
      </c>
      <c r="F24" t="s">
        <v>309</v>
      </c>
      <c r="G24" s="2">
        <v>1</v>
      </c>
      <c r="H24" s="80"/>
      <c r="I24" s="321">
        <f>VLOOKUP(Table336[[#This Row],[Part Number]],'2023 Pricing Rework'!$B$31:$F$754,5, FALSE)</f>
        <v>173.71</v>
      </c>
      <c r="J24" s="13">
        <f>VLOOKUP(Table336[[#This Row],[Part Number]],'2023 Pricing Rework'!$B$31:$F$754,4, FALSE)</f>
        <v>231.60999999999999</v>
      </c>
      <c r="K24" s="13">
        <f>Table336[[#This Row],[Your Price]]*Table336[[#This Row],[Qty]]</f>
        <v>0</v>
      </c>
    </row>
    <row r="25" spans="3:11" ht="16.25" customHeight="1">
      <c r="D25" s="330"/>
      <c r="H25" s="111"/>
      <c r="I25" s="13"/>
      <c r="J25" s="13"/>
      <c r="K25" s="13"/>
    </row>
    <row r="26" spans="3:11" ht="29" customHeight="1">
      <c r="C26" s="6" t="s">
        <v>1119</v>
      </c>
      <c r="D26" s="330"/>
      <c r="H26" s="111"/>
      <c r="I26" s="13"/>
      <c r="J26" s="13"/>
      <c r="K26" s="13"/>
    </row>
    <row r="27" spans="3:11" ht="16.25" customHeight="1">
      <c r="D27" s="330">
        <v>2811125100</v>
      </c>
      <c r="E27" t="s">
        <v>1118</v>
      </c>
      <c r="F27" t="s">
        <v>1115</v>
      </c>
      <c r="G27" s="2">
        <v>1</v>
      </c>
      <c r="H27" s="80"/>
      <c r="I27" s="321">
        <f>VLOOKUP(Table336[[#This Row],[Part Number]],'2023 Pricing Rework'!$B$31:$F$754,5, FALSE)</f>
        <v>17.87</v>
      </c>
      <c r="J27" s="13">
        <f>VLOOKUP(Table336[[#This Row],[Part Number]],'2023 Pricing Rework'!$B$31:$F$754,4, FALSE)</f>
        <v>23.830000000000002</v>
      </c>
      <c r="K27" s="13">
        <f>Table336[[#This Row],[Your Price]]*Table336[[#This Row],[Qty]]</f>
        <v>0</v>
      </c>
    </row>
    <row r="28" spans="3:11" ht="16.25" customHeight="1">
      <c r="D28" s="330">
        <v>2811455100</v>
      </c>
      <c r="E28" t="s">
        <v>1117</v>
      </c>
      <c r="F28" t="s">
        <v>1116</v>
      </c>
      <c r="G28" s="2">
        <v>1</v>
      </c>
      <c r="H28" s="158"/>
      <c r="I28" s="321">
        <f>VLOOKUP(Table336[[#This Row],[Part Number]],'2023 Pricing Rework'!$B$31:$F$754,5, FALSE)</f>
        <v>27.67</v>
      </c>
      <c r="J28" s="13">
        <f>VLOOKUP(Table336[[#This Row],[Part Number]],'2023 Pricing Rework'!$B$31:$F$754,4, FALSE)</f>
        <v>36.89</v>
      </c>
      <c r="K28" s="13">
        <f>Table336[[#This Row],[Your Price]]*Table336[[#This Row],[Qty]]</f>
        <v>0</v>
      </c>
    </row>
    <row r="29" spans="3:11" ht="16.25" customHeight="1">
      <c r="D29" s="330"/>
      <c r="H29" s="111"/>
      <c r="I29" s="12"/>
      <c r="J29" s="12"/>
      <c r="K29" s="12"/>
    </row>
    <row r="30" spans="3:11" ht="29">
      <c r="C30" s="6" t="s">
        <v>419</v>
      </c>
      <c r="D30" s="330"/>
      <c r="F30" s="162" t="s">
        <v>368</v>
      </c>
      <c r="G30" s="59"/>
      <c r="I30"/>
      <c r="J30" s="317"/>
      <c r="K30"/>
    </row>
    <row r="31" spans="3:11" ht="14.5">
      <c r="D31" s="330">
        <v>1310072363</v>
      </c>
      <c r="E31" t="s">
        <v>221</v>
      </c>
      <c r="F31" t="s">
        <v>311</v>
      </c>
      <c r="G31" s="2">
        <v>1</v>
      </c>
      <c r="H31" s="80"/>
      <c r="I31" s="321">
        <f>VLOOKUP(Table336[[#This Row],[Part Number]],'2023 Pricing Rework'!$B$31:$F$754,5, FALSE)</f>
        <v>23.38</v>
      </c>
      <c r="J31" s="13">
        <f>VLOOKUP(Table336[[#This Row],[Part Number]],'2023 Pricing Rework'!$B$31:$F$754,4, FALSE)</f>
        <v>31.17</v>
      </c>
      <c r="K31" s="13">
        <f>Table336[[#This Row],[Your Price]]*Table336[[#This Row],[Qty]]</f>
        <v>0</v>
      </c>
    </row>
    <row r="32" spans="3:11" ht="16.25" customHeight="1">
      <c r="D32" s="330">
        <v>1310072884</v>
      </c>
      <c r="E32" t="s">
        <v>222</v>
      </c>
      <c r="F32" t="s">
        <v>311</v>
      </c>
      <c r="G32" s="2">
        <v>1</v>
      </c>
      <c r="H32" s="80"/>
      <c r="I32" s="321">
        <f>VLOOKUP(Table336[[#This Row],[Part Number]],'2023 Pricing Rework'!$B$31:$F$754,5, FALSE)</f>
        <v>21.67</v>
      </c>
      <c r="J32" s="13">
        <f>VLOOKUP(Table336[[#This Row],[Part Number]],'2023 Pricing Rework'!$B$31:$F$754,4, FALSE)</f>
        <v>28.89</v>
      </c>
      <c r="K32" s="13">
        <f>Table336[[#This Row],[Your Price]]*Table336[[#This Row],[Qty]]</f>
        <v>0</v>
      </c>
    </row>
    <row r="33" spans="1:11" ht="16.25" customHeight="1">
      <c r="D33" s="330">
        <v>1310072282</v>
      </c>
      <c r="E33" t="s">
        <v>223</v>
      </c>
      <c r="F33" t="s">
        <v>311</v>
      </c>
      <c r="G33" s="2">
        <v>1</v>
      </c>
      <c r="H33" s="80"/>
      <c r="I33" s="321">
        <f>VLOOKUP(Table336[[#This Row],[Part Number]],'2023 Pricing Rework'!$B$31:$F$754,5, FALSE)</f>
        <v>16.86</v>
      </c>
      <c r="J33" s="13">
        <f>VLOOKUP(Table336[[#This Row],[Part Number]],'2023 Pricing Rework'!$B$31:$F$754,4, FALSE)</f>
        <v>22.48</v>
      </c>
      <c r="K33" s="13">
        <f>Table336[[#This Row],[Your Price]]*Table336[[#This Row],[Qty]]</f>
        <v>0</v>
      </c>
    </row>
    <row r="34" spans="1:11" ht="16.25" customHeight="1">
      <c r="D34" s="330">
        <v>1310072283</v>
      </c>
      <c r="E34" t="s">
        <v>224</v>
      </c>
      <c r="F34" t="s">
        <v>311</v>
      </c>
      <c r="G34" s="2">
        <v>1</v>
      </c>
      <c r="H34" s="80"/>
      <c r="I34" s="321">
        <f>VLOOKUP(Table336[[#This Row],[Part Number]],'2023 Pricing Rework'!$B$31:$F$754,5, FALSE)</f>
        <v>30.75</v>
      </c>
      <c r="J34" s="13">
        <f>VLOOKUP(Table336[[#This Row],[Part Number]],'2023 Pricing Rework'!$B$31:$F$754,4, FALSE)</f>
        <v>41</v>
      </c>
      <c r="K34" s="13">
        <f>Table336[[#This Row],[Your Price]]*Table336[[#This Row],[Qty]]</f>
        <v>0</v>
      </c>
    </row>
    <row r="35" spans="1:11" ht="16.25" customHeight="1">
      <c r="D35" s="330">
        <v>1310072284</v>
      </c>
      <c r="E35" t="s">
        <v>225</v>
      </c>
      <c r="F35" t="s">
        <v>311</v>
      </c>
      <c r="G35" s="2">
        <v>1</v>
      </c>
      <c r="H35" s="80"/>
      <c r="I35" s="321">
        <f>VLOOKUP(Table336[[#This Row],[Part Number]],'2023 Pricing Rework'!$B$31:$F$754,5, FALSE)</f>
        <v>35.659999999999997</v>
      </c>
      <c r="J35" s="13">
        <f>VLOOKUP(Table336[[#This Row],[Part Number]],'2023 Pricing Rework'!$B$31:$F$754,4, FALSE)</f>
        <v>47.54</v>
      </c>
      <c r="K35" s="13">
        <f>Table336[[#This Row],[Your Price]]*Table336[[#This Row],[Qty]]</f>
        <v>0</v>
      </c>
    </row>
    <row r="36" spans="1:11" ht="16.25" hidden="1" customHeight="1">
      <c r="D36" s="330">
        <v>1310072378</v>
      </c>
      <c r="E36" t="s">
        <v>226</v>
      </c>
      <c r="F36" t="s">
        <v>311</v>
      </c>
      <c r="G36" s="2">
        <v>1</v>
      </c>
      <c r="H36" s="80"/>
      <c r="I36" s="321">
        <f>VLOOKUP(Table336[[#This Row],[Part Number]],'2023 Pricing Rework'!$B$31:$F$754,5, FALSE)</f>
        <v>58.9</v>
      </c>
      <c r="J36" s="13">
        <f>VLOOKUP(Table336[[#This Row],[Part Number]],'2023 Pricing Rework'!$B$31:$F$754,4, FALSE)</f>
        <v>78.53</v>
      </c>
      <c r="K36" s="13">
        <f>Table336[[#This Row],[Your Price]]*Table336[[#This Row],[Qty]]</f>
        <v>0</v>
      </c>
    </row>
    <row r="37" spans="1:11" ht="16.25" hidden="1" customHeight="1">
      <c r="D37" s="330">
        <v>1310072286</v>
      </c>
      <c r="E37" t="s">
        <v>227</v>
      </c>
      <c r="F37" t="s">
        <v>311</v>
      </c>
      <c r="G37" s="2">
        <v>1</v>
      </c>
      <c r="H37" s="80"/>
      <c r="I37" s="321">
        <f>VLOOKUP(Table336[[#This Row],[Part Number]],'2023 Pricing Rework'!$B$31:$F$754,5, FALSE)</f>
        <v>68.37</v>
      </c>
      <c r="J37" s="13">
        <f>VLOOKUP(Table336[[#This Row],[Part Number]],'2023 Pricing Rework'!$B$31:$F$754,4, FALSE)</f>
        <v>91.16</v>
      </c>
      <c r="K37" s="13">
        <f>Table336[[#This Row],[Your Price]]*Table336[[#This Row],[Qty]]</f>
        <v>0</v>
      </c>
    </row>
    <row r="38" spans="1:11" ht="16.25" hidden="1" customHeight="1">
      <c r="D38" s="330">
        <v>1310072287</v>
      </c>
      <c r="E38" t="s">
        <v>228</v>
      </c>
      <c r="F38" t="s">
        <v>311</v>
      </c>
      <c r="G38" s="2">
        <v>1</v>
      </c>
      <c r="H38" s="80"/>
      <c r="I38" s="321">
        <f>VLOOKUP(Table336[[#This Row],[Part Number]],'2023 Pricing Rework'!$B$31:$F$754,5, FALSE)</f>
        <v>200.93</v>
      </c>
      <c r="J38" s="13">
        <f>VLOOKUP(Table336[[#This Row],[Part Number]],'2023 Pricing Rework'!$B$31:$F$754,4, FALSE)</f>
        <v>267.89999999999998</v>
      </c>
      <c r="K38" s="13">
        <f>Table336[[#This Row],[Your Price]]*Table336[[#This Row],[Qty]]</f>
        <v>0</v>
      </c>
    </row>
    <row r="39" spans="1:11" ht="16.25" hidden="1" customHeight="1">
      <c r="D39" s="330">
        <v>1310072288</v>
      </c>
      <c r="E39" t="s">
        <v>229</v>
      </c>
      <c r="F39" t="s">
        <v>311</v>
      </c>
      <c r="G39" s="2">
        <v>1</v>
      </c>
      <c r="H39" s="80"/>
      <c r="I39" s="13" t="e">
        <f>VLOOKUP(Table336[[#This Row],[Part Number]],#REF!,5, FALSE)</f>
        <v>#REF!</v>
      </c>
      <c r="J39" s="13">
        <f>VLOOKUP(Table336[[#This Row],[Part Number]],'2023 Pricing Rework'!$B$31:$F$754,4, FALSE)</f>
        <v>309.52999999999997</v>
      </c>
      <c r="K39" s="13" t="e">
        <f>Table336[[#This Row],[Your Price]]*Table336[[#This Row],[Qty]]</f>
        <v>#REF!</v>
      </c>
    </row>
    <row r="40" spans="1:11" ht="16.25" hidden="1" customHeight="1">
      <c r="D40" s="330">
        <v>1310072289</v>
      </c>
      <c r="E40" t="s">
        <v>230</v>
      </c>
      <c r="F40" t="s">
        <v>311</v>
      </c>
      <c r="G40" s="2">
        <v>1</v>
      </c>
      <c r="H40" s="80"/>
      <c r="I40" s="12" t="e">
        <f>VLOOKUP(Table336[[#This Row],[Part Number]],#REF!,5, FALSE)</f>
        <v>#REF!</v>
      </c>
      <c r="J40" s="12">
        <f>VLOOKUP(Table336[[#This Row],[Part Number]],'2023 Pricing Rework'!$B$31:$F$754,4, FALSE)</f>
        <v>984.59</v>
      </c>
      <c r="K40" s="13" t="e">
        <f>Table336[[#This Row],[Your Price]]*Table336[[#This Row],[Qty]]</f>
        <v>#REF!</v>
      </c>
    </row>
    <row r="41" spans="1:11" ht="29">
      <c r="A41" s="62"/>
      <c r="B41" s="5" t="s">
        <v>27</v>
      </c>
      <c r="C41" s="6" t="s">
        <v>447</v>
      </c>
      <c r="D41" s="330"/>
      <c r="H41" s="111"/>
      <c r="I41" s="13"/>
      <c r="J41" s="13"/>
      <c r="K41" s="13"/>
    </row>
    <row r="42" spans="1:11" ht="16.25" customHeight="1">
      <c r="D42" s="330">
        <v>2811605190</v>
      </c>
      <c r="E42" t="s">
        <v>6</v>
      </c>
      <c r="F42" t="s">
        <v>298</v>
      </c>
      <c r="G42" s="2">
        <v>1</v>
      </c>
      <c r="H42" s="80"/>
      <c r="I42" s="321">
        <f>VLOOKUP(Table336[[#This Row],[Part Number]],'2023 Pricing Rework'!$B$31:$F$754,5, FALSE)</f>
        <v>419.58</v>
      </c>
      <c r="J42" s="13">
        <f>VLOOKUP(Table336[[#This Row],[Part Number]],'2023 Pricing Rework'!$B$31:$F$754,4, FALSE)</f>
        <v>559.44000000000005</v>
      </c>
      <c r="K42" s="13">
        <f>Table336[[#This Row],[Your Price]]*Table336[[#This Row],[Qty]]</f>
        <v>0</v>
      </c>
    </row>
    <row r="43" spans="1:11" ht="16.25" customHeight="1">
      <c r="D43" s="330">
        <v>2811705190</v>
      </c>
      <c r="E43" t="s">
        <v>7</v>
      </c>
      <c r="F43" t="s">
        <v>298</v>
      </c>
      <c r="G43" s="2">
        <v>1</v>
      </c>
      <c r="H43" s="80"/>
      <c r="I43" s="321">
        <f>VLOOKUP(Table336[[#This Row],[Part Number]],'2023 Pricing Rework'!$B$31:$F$754,5, FALSE)</f>
        <v>532.61</v>
      </c>
      <c r="J43" s="13">
        <f>VLOOKUP(Table336[[#This Row],[Part Number]],'2023 Pricing Rework'!$B$31:$F$754,4, FALSE)</f>
        <v>710.15</v>
      </c>
      <c r="K43" s="13">
        <f>Table336[[#This Row],[Your Price]]*Table336[[#This Row],[Qty]]</f>
        <v>0</v>
      </c>
    </row>
    <row r="44" spans="1:11" ht="16.25" customHeight="1">
      <c r="D44" s="330">
        <v>1606456104</v>
      </c>
      <c r="E44" t="s">
        <v>9</v>
      </c>
      <c r="F44" t="s">
        <v>1842</v>
      </c>
      <c r="G44" s="2">
        <v>1</v>
      </c>
      <c r="H44" s="80"/>
      <c r="I44" s="321">
        <f>VLOOKUP(Table336[[#This Row],[Part Number]],'2023 Pricing Rework'!$B$31:$F$754,5, FALSE)</f>
        <v>289.37</v>
      </c>
      <c r="J44" s="13">
        <f>VLOOKUP(Table336[[#This Row],[Part Number]],'2023 Pricing Rework'!$B$31:$F$754,4, FALSE)</f>
        <v>385.83</v>
      </c>
      <c r="K44" s="13">
        <f>Table336[[#This Row],[Your Price]]*Table336[[#This Row],[Qty]]</f>
        <v>0</v>
      </c>
    </row>
    <row r="45" spans="1:11" ht="16.25" customHeight="1">
      <c r="D45" s="330">
        <v>2810905100</v>
      </c>
      <c r="E45" t="s">
        <v>10</v>
      </c>
      <c r="F45" t="s">
        <v>1842</v>
      </c>
      <c r="G45" s="2">
        <v>1</v>
      </c>
      <c r="H45" s="80"/>
      <c r="I45" s="321">
        <f>VLOOKUP(Table336[[#This Row],[Part Number]],'2023 Pricing Rework'!$B$31:$F$754,5, FALSE)</f>
        <v>386.84</v>
      </c>
      <c r="J45" s="13">
        <f>VLOOKUP(Table336[[#This Row],[Part Number]],'2023 Pricing Rework'!$B$31:$F$754,4, FALSE)</f>
        <v>515.78</v>
      </c>
      <c r="K45" s="13">
        <f>Table336[[#This Row],[Your Price]]*Table336[[#This Row],[Qty]]</f>
        <v>0</v>
      </c>
    </row>
    <row r="46" spans="1:11" ht="16.25" customHeight="1">
      <c r="D46" s="330"/>
      <c r="H46" s="111"/>
      <c r="I46" s="13"/>
      <c r="J46" s="13"/>
      <c r="K46" s="13"/>
    </row>
    <row r="47" spans="1:11" ht="29">
      <c r="C47" s="6" t="s">
        <v>83</v>
      </c>
      <c r="D47" s="330"/>
      <c r="H47" s="111"/>
      <c r="I47" s="13"/>
      <c r="J47" s="13"/>
      <c r="K47" s="13"/>
    </row>
    <row r="48" spans="1:11" ht="16.25" customHeight="1">
      <c r="D48" s="330">
        <v>2811665390</v>
      </c>
      <c r="E48" t="s">
        <v>6</v>
      </c>
      <c r="F48" t="s">
        <v>298</v>
      </c>
      <c r="G48" s="2">
        <v>1</v>
      </c>
      <c r="H48" s="80"/>
      <c r="I48" s="321">
        <f>VLOOKUP(Table336[[#This Row],[Part Number]],'2023 Pricing Rework'!$B$31:$F$754,5, FALSE)</f>
        <v>419.58</v>
      </c>
      <c r="J48" s="13">
        <f>VLOOKUP(Table336[[#This Row],[Part Number]],'2023 Pricing Rework'!$B$31:$F$754,4, FALSE)</f>
        <v>559.44000000000005</v>
      </c>
      <c r="K48" s="13">
        <f>Table336[[#This Row],[Your Price]]*Table336[[#This Row],[Qty]]</f>
        <v>0</v>
      </c>
    </row>
    <row r="49" spans="1:11" ht="16.25" customHeight="1">
      <c r="B49" s="238"/>
      <c r="D49" s="330">
        <v>2811775390</v>
      </c>
      <c r="E49" t="s">
        <v>7</v>
      </c>
      <c r="F49" t="s">
        <v>298</v>
      </c>
      <c r="G49" s="2">
        <v>1</v>
      </c>
      <c r="H49" s="80"/>
      <c r="I49" s="321">
        <f>VLOOKUP(Table336[[#This Row],[Part Number]],'2023 Pricing Rework'!$B$31:$F$754,5, FALSE)</f>
        <v>548.78</v>
      </c>
      <c r="J49" s="13">
        <f>VLOOKUP(Table336[[#This Row],[Part Number]],'2023 Pricing Rework'!$B$31:$F$754,4, FALSE)</f>
        <v>731.71</v>
      </c>
      <c r="K49" s="13">
        <f>Table336[[#This Row],[Your Price]]*Table336[[#This Row],[Qty]]</f>
        <v>0</v>
      </c>
    </row>
    <row r="50" spans="1:11" ht="16.25" customHeight="1">
      <c r="D50" s="330"/>
      <c r="H50" s="111"/>
      <c r="I50" s="13"/>
      <c r="J50" s="13"/>
      <c r="K50" s="13"/>
    </row>
    <row r="51" spans="1:11" ht="16.25" customHeight="1">
      <c r="D51" s="330"/>
      <c r="H51" s="111"/>
      <c r="I51" s="13"/>
      <c r="J51" s="13"/>
      <c r="K51" s="13"/>
    </row>
    <row r="52" spans="1:11" ht="16.25" customHeight="1">
      <c r="D52" s="330"/>
      <c r="H52" s="111"/>
      <c r="I52" s="13"/>
      <c r="J52" s="13"/>
      <c r="K52" s="13"/>
    </row>
    <row r="53" spans="1:11" ht="16.25" customHeight="1">
      <c r="D53" s="330"/>
      <c r="H53" s="111"/>
      <c r="I53" s="13"/>
      <c r="J53" s="13"/>
      <c r="K53" s="13"/>
    </row>
    <row r="54" spans="1:11" ht="14.4" customHeight="1">
      <c r="A54" s="62"/>
      <c r="B54" s="5" t="s">
        <v>1840</v>
      </c>
      <c r="C54" s="5" t="s">
        <v>40</v>
      </c>
      <c r="D54" s="330"/>
      <c r="E54" s="1" t="s">
        <v>32</v>
      </c>
      <c r="I54"/>
      <c r="J54" s="317"/>
      <c r="K54"/>
    </row>
    <row r="55" spans="1:11" ht="14.4" customHeight="1">
      <c r="D55" s="330">
        <v>2811615490</v>
      </c>
      <c r="E55" t="s">
        <v>6</v>
      </c>
      <c r="F55" t="s">
        <v>40</v>
      </c>
      <c r="G55" s="2">
        <v>1</v>
      </c>
      <c r="H55" s="80"/>
      <c r="I55" s="321">
        <f>VLOOKUP(Table336[[#This Row],[Part Number]],'2023 Pricing Rework'!$B$31:$F$754,5, FALSE)</f>
        <v>104.3</v>
      </c>
      <c r="J55" s="13">
        <f>VLOOKUP(Table336[[#This Row],[Part Number]],'2023 Pricing Rework'!$B$31:$F$754,4, FALSE)</f>
        <v>139.06</v>
      </c>
      <c r="K55" s="13">
        <f>Table336[[#This Row],[Your Price]]*Table336[[#This Row],[Qty]]</f>
        <v>0</v>
      </c>
    </row>
    <row r="56" spans="1:11" ht="14.4" customHeight="1">
      <c r="D56" s="330">
        <v>2811715490</v>
      </c>
      <c r="E56" t="s">
        <v>7</v>
      </c>
      <c r="F56" t="s">
        <v>40</v>
      </c>
      <c r="G56" s="2">
        <v>1</v>
      </c>
      <c r="H56" s="80"/>
      <c r="I56" s="321">
        <f>VLOOKUP(Table336[[#This Row],[Part Number]],'2023 Pricing Rework'!$B$31:$F$754,5, FALSE)</f>
        <v>173.96</v>
      </c>
      <c r="J56" s="13">
        <f>VLOOKUP(Table336[[#This Row],[Part Number]],'2023 Pricing Rework'!$B$31:$F$754,4, FALSE)</f>
        <v>231.95</v>
      </c>
      <c r="K56" s="13">
        <f>Table336[[#This Row],[Your Price]]*Table336[[#This Row],[Qty]]</f>
        <v>0</v>
      </c>
    </row>
    <row r="57" spans="1:11" ht="14.4" customHeight="1">
      <c r="C57" s="238"/>
      <c r="D57" s="330">
        <v>2810825400</v>
      </c>
      <c r="E57" t="s">
        <v>9</v>
      </c>
      <c r="F57" t="s">
        <v>327</v>
      </c>
      <c r="G57" s="2">
        <v>1</v>
      </c>
      <c r="H57" s="80"/>
      <c r="I57" s="321">
        <f>VLOOKUP(Table336[[#This Row],[Part Number]],'2023 Pricing Rework'!$B$31:$F$754,5, FALSE)</f>
        <v>176.58</v>
      </c>
      <c r="J57" s="13">
        <f>VLOOKUP(Table336[[#This Row],[Part Number]],'2023 Pricing Rework'!$B$31:$F$754,4, FALSE)</f>
        <v>235.44</v>
      </c>
      <c r="K57" s="13">
        <f>Table336[[#This Row],[Your Price]]*Table336[[#This Row],[Qty]]</f>
        <v>0</v>
      </c>
    </row>
    <row r="58" spans="1:11" ht="14.4" customHeight="1">
      <c r="D58" s="330">
        <v>2810915400</v>
      </c>
      <c r="E58" t="s">
        <v>10</v>
      </c>
      <c r="F58" t="s">
        <v>328</v>
      </c>
      <c r="G58" s="2">
        <v>1</v>
      </c>
      <c r="H58" s="80"/>
      <c r="I58" s="321">
        <f>VLOOKUP(Table336[[#This Row],[Part Number]],'2023 Pricing Rework'!$B$31:$F$754,5, FALSE)</f>
        <v>190.32</v>
      </c>
      <c r="J58" s="13">
        <f>VLOOKUP(Table336[[#This Row],[Part Number]],'2023 Pricing Rework'!$B$31:$F$754,4, FALSE)</f>
        <v>253.76</v>
      </c>
      <c r="K58" s="13">
        <f>Table336[[#This Row],[Your Price]]*Table336[[#This Row],[Qty]]</f>
        <v>0</v>
      </c>
    </row>
    <row r="59" spans="1:11" ht="14.4" customHeight="1">
      <c r="D59" s="330"/>
      <c r="I59"/>
      <c r="J59" s="317"/>
      <c r="K59"/>
    </row>
    <row r="60" spans="1:11" ht="14.4" customHeight="1">
      <c r="D60" s="330"/>
      <c r="I60"/>
      <c r="J60" s="317"/>
      <c r="K60"/>
    </row>
    <row r="61" spans="1:11" ht="14.4" customHeight="1">
      <c r="A61" s="62"/>
      <c r="B61" s="5" t="s">
        <v>41</v>
      </c>
      <c r="C61" s="5" t="s">
        <v>426</v>
      </c>
      <c r="D61" s="330"/>
      <c r="I61"/>
      <c r="J61" s="317"/>
      <c r="K61"/>
    </row>
    <row r="62" spans="1:11" ht="14.4" customHeight="1">
      <c r="B62" s="9"/>
      <c r="C62" s="9"/>
      <c r="D62" s="330">
        <v>2810000638</v>
      </c>
      <c r="E62" t="s">
        <v>6</v>
      </c>
      <c r="G62" s="2">
        <v>1</v>
      </c>
      <c r="H62" s="80"/>
      <c r="I62" s="321">
        <f>VLOOKUP(Table336[[#This Row],[Part Number]],'2023 Pricing Rework'!$B$31:$F$754,5, FALSE)</f>
        <v>37.85</v>
      </c>
      <c r="J62" s="13">
        <f>VLOOKUP(Table336[[#This Row],[Part Number]],'2023 Pricing Rework'!$B$31:$F$754,4, FALSE)</f>
        <v>50.47</v>
      </c>
      <c r="K62" s="13">
        <f>Table336[[#This Row],[Your Price]]*Table336[[#This Row],[Qty]]</f>
        <v>0</v>
      </c>
    </row>
    <row r="63" spans="1:11" ht="14.4" customHeight="1">
      <c r="B63" s="9"/>
      <c r="C63" s="9"/>
      <c r="D63" s="330">
        <v>2810000738</v>
      </c>
      <c r="E63" t="s">
        <v>7</v>
      </c>
      <c r="G63" s="2">
        <v>1</v>
      </c>
      <c r="H63" s="80"/>
      <c r="I63" s="321">
        <f>VLOOKUP(Table336[[#This Row],[Part Number]],'2023 Pricing Rework'!$B$31:$F$754,5, FALSE)</f>
        <v>37.85</v>
      </c>
      <c r="J63" s="13">
        <f>VLOOKUP(Table336[[#This Row],[Part Number]],'2023 Pricing Rework'!$B$31:$F$754,4, FALSE)</f>
        <v>50.47</v>
      </c>
      <c r="K63" s="13">
        <f>Table336[[#This Row],[Your Price]]*Table336[[#This Row],[Qty]]</f>
        <v>0</v>
      </c>
    </row>
    <row r="64" spans="1:11" ht="14.4" customHeight="1">
      <c r="B64" s="9"/>
      <c r="C64" s="9"/>
      <c r="D64" s="330">
        <v>2810806400</v>
      </c>
      <c r="E64" t="s">
        <v>9</v>
      </c>
      <c r="G64" s="2">
        <v>1</v>
      </c>
      <c r="H64" s="80"/>
      <c r="I64" s="321">
        <f>VLOOKUP(Table336[[#This Row],[Part Number]],'2023 Pricing Rework'!$B$31:$F$754,5, FALSE)</f>
        <v>26.69</v>
      </c>
      <c r="J64" s="13">
        <f>VLOOKUP(Table336[[#This Row],[Part Number]],'2023 Pricing Rework'!$B$31:$F$754,4, FALSE)</f>
        <v>35.589999999999996</v>
      </c>
      <c r="K64" s="13">
        <f>Table336[[#This Row],[Your Price]]*Table336[[#This Row],[Qty]]</f>
        <v>0</v>
      </c>
    </row>
    <row r="65" spans="2:11" ht="14.4" customHeight="1">
      <c r="B65" s="9"/>
      <c r="C65" s="9"/>
      <c r="D65" s="330">
        <v>2810906400</v>
      </c>
      <c r="E65" t="s">
        <v>10</v>
      </c>
      <c r="G65" s="2">
        <v>1</v>
      </c>
      <c r="H65" s="80"/>
      <c r="I65" s="321">
        <f>VLOOKUP(Table336[[#This Row],[Part Number]],'2023 Pricing Rework'!$B$31:$F$754,5, FALSE)</f>
        <v>35.6</v>
      </c>
      <c r="J65" s="13">
        <f>VLOOKUP(Table336[[#This Row],[Part Number]],'2023 Pricing Rework'!$B$31:$F$754,4, FALSE)</f>
        <v>47.47</v>
      </c>
      <c r="K65" s="13">
        <f>Table336[[#This Row],[Your Price]]*Table336[[#This Row],[Qty]]</f>
        <v>0</v>
      </c>
    </row>
    <row r="66" spans="2:11" ht="14.4" customHeight="1">
      <c r="B66" s="9"/>
      <c r="C66" s="9"/>
      <c r="D66" s="330"/>
      <c r="I66"/>
      <c r="J66" s="317"/>
      <c r="K66"/>
    </row>
    <row r="67" spans="2:11" ht="14.4" customHeight="1">
      <c r="B67" s="9"/>
      <c r="C67" s="9"/>
      <c r="D67" s="330"/>
      <c r="I67"/>
      <c r="J67" s="317"/>
      <c r="K67"/>
    </row>
    <row r="68" spans="2:11" ht="14.4" customHeight="1">
      <c r="B68" s="9"/>
      <c r="C68" s="5" t="s">
        <v>42</v>
      </c>
      <c r="D68" s="330"/>
      <c r="E68" s="163" t="s">
        <v>320</v>
      </c>
      <c r="F68" s="1" t="s">
        <v>321</v>
      </c>
      <c r="I68"/>
      <c r="J68" s="317"/>
      <c r="K68"/>
    </row>
    <row r="69" spans="2:11" ht="14.4" customHeight="1">
      <c r="D69" s="361" t="s">
        <v>1861</v>
      </c>
      <c r="E69" t="s">
        <v>6</v>
      </c>
      <c r="G69" s="2">
        <v>1</v>
      </c>
      <c r="H69" s="80"/>
      <c r="I69" s="321">
        <f>VLOOKUP(Table336[[#This Row],[Part Number]],'2023 Pricing Rework'!$B$7:$F$754,5, FALSE)</f>
        <v>29.45</v>
      </c>
      <c r="J69" s="13">
        <v>25.51</v>
      </c>
      <c r="K69" s="13">
        <f>Table336[[#This Row],[Your Price]]*Table336[[#This Row],[Qty]]</f>
        <v>0</v>
      </c>
    </row>
    <row r="70" spans="2:11" ht="14.4" customHeight="1">
      <c r="D70" s="361" t="s">
        <v>1862</v>
      </c>
      <c r="E70" t="s">
        <v>7</v>
      </c>
      <c r="G70" s="2">
        <v>1</v>
      </c>
      <c r="H70" s="80"/>
      <c r="I70" s="321">
        <f>VLOOKUP(Table336[[#This Row],[Part Number]],'2023 Pricing Rework'!$B$7:$F$754,5, FALSE)</f>
        <v>16.97</v>
      </c>
      <c r="J70" s="13">
        <v>31.63</v>
      </c>
      <c r="K70" s="13">
        <f>Table336[[#This Row],[Your Price]]*Table336[[#This Row],[Qty]]</f>
        <v>0</v>
      </c>
    </row>
    <row r="71" spans="2:11" ht="14.4" customHeight="1">
      <c r="D71" s="361" t="s">
        <v>1863</v>
      </c>
      <c r="E71" t="s">
        <v>9</v>
      </c>
      <c r="G71" s="2">
        <v>1</v>
      </c>
      <c r="H71" s="80"/>
      <c r="I71" s="321">
        <f>VLOOKUP(Table336[[#This Row],[Part Number]],'2023 Pricing Rework'!$B$7:$F$754,5, FALSE)</f>
        <v>24.31</v>
      </c>
      <c r="J71" s="13">
        <v>30.91</v>
      </c>
      <c r="K71" s="13">
        <f>Table336[[#This Row],[Your Price]]*Table336[[#This Row],[Qty]]</f>
        <v>0</v>
      </c>
    </row>
    <row r="72" spans="2:11" ht="14.4" customHeight="1">
      <c r="D72" s="361" t="s">
        <v>1864</v>
      </c>
      <c r="E72" t="s">
        <v>10</v>
      </c>
      <c r="G72" s="2">
        <v>1</v>
      </c>
      <c r="H72" s="80"/>
      <c r="I72" s="321">
        <f>VLOOKUP(Table336[[#This Row],[Part Number]],'2023 Pricing Rework'!$B$7:$F$754,5, FALSE)</f>
        <v>54.78</v>
      </c>
      <c r="J72" s="13">
        <v>55.49</v>
      </c>
      <c r="K72" s="13">
        <f>Table336[[#This Row],[Your Price]]*Table336[[#This Row],[Qty]]</f>
        <v>0</v>
      </c>
    </row>
    <row r="73" spans="2:11" ht="14.4" customHeight="1">
      <c r="D73" s="330"/>
      <c r="H73"/>
      <c r="I73"/>
      <c r="J73" s="317"/>
      <c r="K73"/>
    </row>
    <row r="74" spans="2:11" ht="27">
      <c r="C74" s="6" t="s">
        <v>1105</v>
      </c>
      <c r="D74" s="330"/>
      <c r="H74"/>
      <c r="I74"/>
      <c r="J74" s="317"/>
      <c r="K74"/>
    </row>
    <row r="75" spans="2:11" ht="14.4" customHeight="1">
      <c r="D75" s="330">
        <v>2810025408</v>
      </c>
      <c r="E75" t="s">
        <v>96</v>
      </c>
      <c r="F75" t="s">
        <v>231</v>
      </c>
      <c r="G75" s="182">
        <v>8</v>
      </c>
      <c r="H75" s="80"/>
      <c r="I75" s="321">
        <f>VLOOKUP(Table336[[#This Row],[Part Number]],'2023 Pricing Rework'!$B$31:$F$754,5, FALSE)</f>
        <v>72.400000000000006</v>
      </c>
      <c r="J75" s="13">
        <f>VLOOKUP(Table336[[#This Row],[Part Number]],'2023 Pricing Rework'!$B$31:$F$754,4, FALSE)</f>
        <v>96.53</v>
      </c>
      <c r="K75" s="13">
        <f>Table336[[#This Row],[Your Price]]*Table336[[#This Row],[Qty]]</f>
        <v>0</v>
      </c>
    </row>
    <row r="76" spans="2:11" ht="14.4" customHeight="1">
      <c r="D76" s="330">
        <v>2810045408</v>
      </c>
      <c r="E76" t="s">
        <v>91</v>
      </c>
      <c r="F76" t="s">
        <v>231</v>
      </c>
      <c r="G76" s="180">
        <v>8</v>
      </c>
      <c r="H76" s="80"/>
      <c r="I76" s="321">
        <f>VLOOKUP(Table336[[#This Row],[Part Number]],'2023 Pricing Rework'!$B$31:$F$754,5, FALSE)</f>
        <v>52.95</v>
      </c>
      <c r="J76" s="13">
        <f>VLOOKUP(Table336[[#This Row],[Part Number]],'2023 Pricing Rework'!$B$31:$F$754,4, FALSE)</f>
        <v>70.600000000000009</v>
      </c>
      <c r="K76" s="13">
        <f>Table336[[#This Row],[Your Price]]*Table336[[#This Row],[Qty]]</f>
        <v>0</v>
      </c>
    </row>
    <row r="77" spans="2:11" ht="14.4" customHeight="1">
      <c r="D77" s="330"/>
      <c r="H77"/>
      <c r="I77"/>
      <c r="J77" s="317"/>
      <c r="K77"/>
    </row>
    <row r="78" spans="2:11" ht="14.4" customHeight="1">
      <c r="D78" s="330"/>
      <c r="H78"/>
      <c r="I78"/>
      <c r="J78" s="317"/>
      <c r="K78"/>
    </row>
    <row r="79" spans="2:11" ht="14.4" customHeight="1">
      <c r="D79" s="330"/>
      <c r="H79"/>
      <c r="I79" s="107"/>
      <c r="J79" s="326"/>
      <c r="K79"/>
    </row>
    <row r="80" spans="2:11" ht="14.4" customHeight="1">
      <c r="D80" s="330"/>
      <c r="H80"/>
      <c r="I80"/>
      <c r="J80" s="317" t="e">
        <f>VLOOKUP(Table336[[#This Row],[Part Number]],'2023 Pricing Rework'!$B$31:$F$754,4, FALSE)</f>
        <v>#N/A</v>
      </c>
      <c r="K80"/>
    </row>
    <row r="81" spans="4:11" ht="14.4" customHeight="1">
      <c r="D81"/>
      <c r="H81"/>
      <c r="I81"/>
      <c r="J81"/>
      <c r="K81"/>
    </row>
    <row r="82" spans="4:11" ht="14.4" hidden="1" customHeight="1">
      <c r="I82" s="44"/>
      <c r="J82" s="44"/>
      <c r="K82" s="44"/>
    </row>
  </sheetData>
  <sheetProtection algorithmName="SHA-512" hashValue="R4aTRUtwqANNezbFcLg556EPzcXV7z6R+3chG1nDtucKzPBYJmw/EPXrsifz3cvD1KDa4TAQ0s9BB3QCQPC0rA==" saltValue="TccRpnFwleWSVYll1e0Hwg==" spinCount="100000" sheet="1" selectLockedCells="1"/>
  <mergeCells count="1">
    <mergeCell ref="D1:G1"/>
  </mergeCells>
  <pageMargins left="0.7" right="0.7" top="0.75" bottom="0.75" header="0.3" footer="0.3"/>
  <pageSetup orientation="portrait" r:id="rId1"/>
  <ignoredErrors>
    <ignoredError sqref="K4:K22 K75:K76 K54:K61 K30:K40 K42:K45 K24 K48:K49 K27:K28 J69:J72" calculatedColumn="1"/>
    <ignoredError sqref="I66:I68" evalError="1"/>
    <ignoredError sqref="K62 K63:K72 K23" evalError="1" calculatedColumn="1"/>
  </ignoredError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2023 Pricing Rework</vt:lpstr>
      <vt:lpstr>Parts List</vt:lpstr>
      <vt:lpstr>MENU</vt:lpstr>
      <vt:lpstr>BOM</vt:lpstr>
      <vt:lpstr>PIPE</vt:lpstr>
      <vt:lpstr>Straight Connection</vt:lpstr>
      <vt:lpstr>Reducing Fittings</vt:lpstr>
      <vt:lpstr>QDrops</vt:lpstr>
      <vt:lpstr>VALVES &amp; FLANGES</vt:lpstr>
      <vt:lpstr>NPT Adapters</vt:lpstr>
      <vt:lpstr>HANGING MATERIAL</vt:lpstr>
      <vt:lpstr>TOOLS</vt:lpstr>
      <vt:lpstr>ACCESSORIES, HOSES</vt:lpstr>
      <vt:lpstr>Spare Parts</vt:lpstr>
      <vt:lpstr>Tool Box Contents</vt:lpstr>
      <vt:lpstr>3 Series of Fittings</vt:lpstr>
      <vt:lpstr>QDrop Fitting Info</vt:lpstr>
      <vt:lpstr>BOM!Print_Area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Price List 10/2015</dc:subject>
  <dc:creator>Aluminum Air Pipe</dc:creator>
  <cp:lastModifiedBy>AAP</cp:lastModifiedBy>
  <cp:lastPrinted>2022-01-25T19:04:26Z</cp:lastPrinted>
  <dcterms:created xsi:type="dcterms:W3CDTF">2015-05-07T16:22:48Z</dcterms:created>
  <dcterms:modified xsi:type="dcterms:W3CDTF">2023-01-11T19:52:37Z</dcterms:modified>
</cp:coreProperties>
</file>